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maples\Dropbox\Public\ExtensionTools\Publications\SmallRum\"/>
    </mc:Choice>
  </mc:AlternateContent>
  <bookViews>
    <workbookView xWindow="0" yWindow="0" windowWidth="20430" windowHeight="9735" activeTab="1"/>
  </bookViews>
  <sheets>
    <sheet name="INSTRUCTIONS" sheetId="6" r:id="rId1"/>
    <sheet name="Budget" sheetId="2" r:id="rId2"/>
    <sheet name="mix_grass_budget" sheetId="4" r:id="rId3"/>
  </sheets>
  <definedNames>
    <definedName name="_xlnm.Print_Area" localSheetId="1">Budget!$A$1:$J$71</definedName>
    <definedName name="_xlnm.Print_Area" localSheetId="0">INSTRUCTIONS!$A$2:$A$44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1" i="2" l="1"/>
  <c r="K81" i="2" s="1"/>
  <c r="H49" i="2"/>
  <c r="H50" i="2"/>
  <c r="G30" i="2"/>
  <c r="G9" i="4"/>
  <c r="H46" i="2"/>
  <c r="G50" i="2"/>
  <c r="E25" i="2"/>
  <c r="E24" i="2"/>
  <c r="H58" i="2"/>
  <c r="G49" i="2"/>
  <c r="G58" i="2"/>
  <c r="I58" i="2" l="1"/>
  <c r="J58" i="2" s="1"/>
  <c r="I45" i="2" l="1"/>
  <c r="J45" i="2" s="1"/>
  <c r="G76" i="2" l="1"/>
  <c r="N76" i="2" l="1"/>
  <c r="G51" i="2"/>
  <c r="G59" i="2" s="1"/>
  <c r="G43" i="2"/>
  <c r="G42" i="2"/>
  <c r="G37" i="2"/>
  <c r="G34" i="2"/>
  <c r="G33" i="2"/>
  <c r="I50" i="2" l="1"/>
  <c r="G77" i="2"/>
  <c r="G78" i="2"/>
  <c r="G79" i="2"/>
  <c r="G80" i="2"/>
  <c r="N80" i="2" s="1"/>
  <c r="G38" i="2"/>
  <c r="I38" i="2" s="1"/>
  <c r="J38" i="2" s="1"/>
  <c r="I37" i="2"/>
  <c r="J37" i="2" s="1"/>
  <c r="G35" i="2"/>
  <c r="I35" i="2" s="1"/>
  <c r="J35" i="2" s="1"/>
  <c r="G25" i="2"/>
  <c r="G24" i="2"/>
  <c r="H51" i="2"/>
  <c r="I51" i="2" s="1"/>
  <c r="I49" i="2"/>
  <c r="J49" i="2" s="1"/>
  <c r="H25" i="2"/>
  <c r="H24" i="2"/>
  <c r="G10" i="4"/>
  <c r="G11" i="4"/>
  <c r="G13" i="4"/>
  <c r="G15" i="4"/>
  <c r="G17" i="4"/>
  <c r="G19" i="4"/>
  <c r="G21" i="4"/>
  <c r="G23" i="4"/>
  <c r="G25" i="4"/>
  <c r="G27" i="4"/>
  <c r="G28" i="4"/>
  <c r="G29" i="4"/>
  <c r="G31" i="2"/>
  <c r="I31" i="2" s="1"/>
  <c r="J31" i="2" s="1"/>
  <c r="I33" i="2"/>
  <c r="J33" i="2" s="1"/>
  <c r="I34" i="2"/>
  <c r="J34" i="2" s="1"/>
  <c r="G40" i="2"/>
  <c r="I40" i="2" s="1"/>
  <c r="J40" i="2" s="1"/>
  <c r="G41" i="2"/>
  <c r="I41" i="2" s="1"/>
  <c r="J41" i="2" s="1"/>
  <c r="I42" i="2"/>
  <c r="J42" i="2" s="1"/>
  <c r="I43" i="2"/>
  <c r="J43" i="2" s="1"/>
  <c r="G46" i="2"/>
  <c r="I46" i="2" s="1"/>
  <c r="J46" i="2" s="1"/>
  <c r="G35" i="4"/>
  <c r="G34" i="4"/>
  <c r="G33" i="4"/>
  <c r="G57" i="2"/>
  <c r="I57" i="2" s="1"/>
  <c r="J57" i="2" s="1"/>
  <c r="N77" i="2" l="1"/>
  <c r="G85" i="2"/>
  <c r="G31" i="4"/>
  <c r="J50" i="2"/>
  <c r="M79" i="2"/>
  <c r="N79" i="2"/>
  <c r="K78" i="2"/>
  <c r="L78" i="2" s="1"/>
  <c r="N78" i="2"/>
  <c r="L81" i="2"/>
  <c r="N81" i="2"/>
  <c r="J51" i="2"/>
  <c r="M77" i="2"/>
  <c r="K79" i="2"/>
  <c r="L79" i="2" s="1"/>
  <c r="M81" i="2"/>
  <c r="I48" i="2" s="1"/>
  <c r="J48" i="2" s="1"/>
  <c r="I25" i="2"/>
  <c r="J25" i="2" s="1"/>
  <c r="G44" i="2"/>
  <c r="I44" i="2" s="1"/>
  <c r="J44" i="2" s="1"/>
  <c r="G32" i="2"/>
  <c r="I32" i="2" s="1"/>
  <c r="J32" i="2" s="1"/>
  <c r="G37" i="4"/>
  <c r="I24" i="2"/>
  <c r="J24" i="2" s="1"/>
  <c r="K77" i="2"/>
  <c r="L77" i="2" s="1"/>
  <c r="M80" i="2"/>
  <c r="M76" i="2"/>
  <c r="H59" i="2"/>
  <c r="M78" i="2"/>
  <c r="K80" i="2"/>
  <c r="L80" i="2" s="1"/>
  <c r="K76" i="2"/>
  <c r="K85" i="2" l="1"/>
  <c r="M85" i="2"/>
  <c r="I47" i="2" s="1"/>
  <c r="J47" i="2" s="1"/>
  <c r="N85" i="2"/>
  <c r="I61" i="2" s="1"/>
  <c r="J61" i="2" s="1"/>
  <c r="I59" i="2"/>
  <c r="J59" i="2" s="1"/>
  <c r="I30" i="2"/>
  <c r="G39" i="4"/>
  <c r="I27" i="2"/>
  <c r="J27" i="2" s="1"/>
  <c r="L76" i="2"/>
  <c r="L85" i="2" l="1"/>
  <c r="I60" i="2" s="1"/>
  <c r="J30" i="2"/>
  <c r="I53" i="2"/>
  <c r="J53" i="2" s="1"/>
  <c r="J60" i="2" l="1"/>
  <c r="I63" i="2"/>
  <c r="J63" i="2" s="1"/>
  <c r="J54" i="2"/>
  <c r="I54" i="2"/>
  <c r="I64" i="2" l="1"/>
  <c r="J64" i="2" s="1"/>
  <c r="I66" i="2" l="1"/>
  <c r="J66" i="2" s="1"/>
</calcChain>
</file>

<file path=xl/sharedStrings.xml><?xml version="1.0" encoding="utf-8"?>
<sst xmlns="http://schemas.openxmlformats.org/spreadsheetml/2006/main" count="235" uniqueCount="190">
  <si>
    <t>DIRECT EXPENSES</t>
  </si>
  <si>
    <t>FIXED EXPENSES</t>
  </si>
  <si>
    <t>ITEM</t>
  </si>
  <si>
    <t>TOTAL DIRECT EXPENSES</t>
  </si>
  <si>
    <t>TOTAL SPECIFIED EXPENSES</t>
  </si>
  <si>
    <t>ton</t>
  </si>
  <si>
    <t>cwt</t>
  </si>
  <si>
    <t>acre</t>
  </si>
  <si>
    <t>hour</t>
  </si>
  <si>
    <t>TOTAL FIXED EXPENSES</t>
  </si>
  <si>
    <t>COST</t>
  </si>
  <si>
    <t>TOTAL</t>
  </si>
  <si>
    <t>ASSUMPTIONS USED IN BUDGET:</t>
  </si>
  <si>
    <t>INCOME</t>
  </si>
  <si>
    <t>Head</t>
  </si>
  <si>
    <t>Unit</t>
  </si>
  <si>
    <t>Quantity</t>
  </si>
  <si>
    <t>Price or Cost</t>
  </si>
  <si>
    <t>per Unit</t>
  </si>
  <si>
    <t>Total</t>
  </si>
  <si>
    <t>Value/Cost</t>
  </si>
  <si>
    <t>head</t>
  </si>
  <si>
    <t>Hay</t>
  </si>
  <si>
    <t>Hired Labor</t>
  </si>
  <si>
    <t>Repair &amp; Maint. (Buildings/Equip.)</t>
  </si>
  <si>
    <t>Vehicle Fuel &amp; Oil</t>
  </si>
  <si>
    <t>Salt &amp; Mineral</t>
  </si>
  <si>
    <t>Vet &amp; Medicine</t>
  </si>
  <si>
    <t>ESTIMATED</t>
  </si>
  <si>
    <t>PROPORTION</t>
  </si>
  <si>
    <t xml:space="preserve"> SALVAGE</t>
  </si>
  <si>
    <t>YEARS</t>
  </si>
  <si>
    <t>NUMBER</t>
  </si>
  <si>
    <t xml:space="preserve"> CHARGED</t>
  </si>
  <si>
    <t xml:space="preserve"> VALUE(%)</t>
  </si>
  <si>
    <t xml:space="preserve"> OF LIFE</t>
  </si>
  <si>
    <t/>
  </si>
  <si>
    <t>FENCING</t>
  </si>
  <si>
    <t>CORRAL</t>
  </si>
  <si>
    <t>FEED BUNK</t>
  </si>
  <si>
    <t>WATER TANK, ETC.</t>
  </si>
  <si>
    <t>MINERAL FEEDER</t>
  </si>
  <si>
    <t>PICKUP</t>
  </si>
  <si>
    <t>SALVAGE</t>
  </si>
  <si>
    <t>VALUE</t>
  </si>
  <si>
    <t>DEPREC.</t>
  </si>
  <si>
    <t>INS.</t>
  </si>
  <si>
    <t>REPAIRS</t>
  </si>
  <si>
    <t>dollars</t>
  </si>
  <si>
    <t>%</t>
  </si>
  <si>
    <t>RETURN OVER DIRECT EXPENSES</t>
  </si>
  <si>
    <t>General Overhead</t>
  </si>
  <si>
    <t>Interest on Buildings and Equip.</t>
  </si>
  <si>
    <t>Depreciation</t>
  </si>
  <si>
    <t>Taxes &amp; Insurance</t>
  </si>
  <si>
    <t>RETURN OVER TOTAL SPECIFIED EXPENSES</t>
  </si>
  <si>
    <t>Marketing Expenses</t>
  </si>
  <si>
    <t>Pasture Cost</t>
  </si>
  <si>
    <t>Buck Maintenance Expense</t>
  </si>
  <si>
    <t>Misc. Supplies</t>
  </si>
  <si>
    <t>GROSS INCOME</t>
  </si>
  <si>
    <t>TAXES &amp;</t>
  </si>
  <si>
    <t>Table 7.B Estimated costs per acre</t>
  </si>
  <si>
    <t>Permanent summer pasture maintenance (i.e. bahia,</t>
  </si>
  <si>
    <t xml:space="preserve"> UNIT</t>
  </si>
  <si>
    <t xml:space="preserve"> PRICE</t>
  </si>
  <si>
    <t xml:space="preserve"> QUANTITY</t>
  </si>
  <si>
    <t xml:space="preserve"> AMOUNT</t>
  </si>
  <si>
    <t>FERTILIZER</t>
  </si>
  <si>
    <t>Phosphate (46% P2O5)</t>
  </si>
  <si>
    <t>Potash (60% K2O)</t>
  </si>
  <si>
    <t>HERBICIDE</t>
  </si>
  <si>
    <t>pt</t>
  </si>
  <si>
    <t>CUSTOM FERT</t>
  </si>
  <si>
    <t>Custom Spread(Truck)</t>
  </si>
  <si>
    <t>appl</t>
  </si>
  <si>
    <t>SERVICE FEE</t>
  </si>
  <si>
    <t>Soil Testing</t>
  </si>
  <si>
    <t>CUSTOM LIME</t>
  </si>
  <si>
    <t>Lime (Spread)</t>
  </si>
  <si>
    <t>OPERATOR LABOR</t>
  </si>
  <si>
    <t>Tractors</t>
  </si>
  <si>
    <t>HAND LABOR</t>
  </si>
  <si>
    <t>Implements</t>
  </si>
  <si>
    <t>DIESEL FUEL</t>
  </si>
  <si>
    <t>gal</t>
  </si>
  <si>
    <t>REPAIR &amp; MAINTENANCE</t>
  </si>
  <si>
    <t>INTEREST ON OP. CAP.</t>
  </si>
  <si>
    <t xml:space="preserve"> </t>
  </si>
  <si>
    <t>Prorated Est Cost</t>
  </si>
  <si>
    <t xml:space="preserve">   Deworming</t>
  </si>
  <si>
    <t xml:space="preserve">      breeding stock</t>
  </si>
  <si>
    <t xml:space="preserve">   Vaccinations</t>
  </si>
  <si>
    <t>doses</t>
  </si>
  <si>
    <t>Buck Replacement</t>
  </si>
  <si>
    <t>lbs</t>
  </si>
  <si>
    <t>Round Bale</t>
  </si>
  <si>
    <t>Fert. 33-0-0-12s</t>
  </si>
  <si>
    <t>GrazonNext</t>
  </si>
  <si>
    <t>BUCK VALUE ($/HEAD)</t>
  </si>
  <si>
    <t>NUMBER OF BUCKS</t>
  </si>
  <si>
    <t>AVG. AMOUNT OF FEED FED/HEAD/DAY (BUCKS)</t>
  </si>
  <si>
    <t>AVG. AMOUNT OF HAY FED/HEAD/DAY (BUCKS)</t>
  </si>
  <si>
    <t>AMOUNT FINANCED</t>
  </si>
  <si>
    <t>ANNUAL INTEREST RATE</t>
  </si>
  <si>
    <t>NUMBER OF DAYS FEED &amp; HAY IS FED (BUCKS)</t>
  </si>
  <si>
    <t>NUMBER OF DOES = the total number of does currently in your operation</t>
  </si>
  <si>
    <t>DOES PER ACRE = carrying capacity of your operation (total number of does divided by total number of pasture acres)</t>
  </si>
  <si>
    <t>CULLING RATE (DOES) = total number of does culled each year as a percent of total number of does (number of does culled each year divided by total number of does in operation)</t>
  </si>
  <si>
    <t>LABOR (HOURS/DOE) = number of hours for paid labor per doe owned per year</t>
  </si>
  <si>
    <t>AVERAGE DOE WEIGHT (LBS) = the average body weight of does owned (pounds)</t>
  </si>
  <si>
    <t>NUMBER OF BUCKS = total number of bucks in the operation (recommended: 1 buck per 25 does)</t>
  </si>
  <si>
    <t>AVG. AMOUNT OF FEED FED/HEAD/DAY (BUCKS) = the average number of pounds of feed fed to bucks per day (breeding and confinement)</t>
  </si>
  <si>
    <t>AVG. AMOUNT OF HAY FED/HEAD/DAY (BUCKS) = the average number of pounds of hay fed to bucks per day (breeding and confinement)</t>
  </si>
  <si>
    <t>NUMBER OF DAYS FEED &amp; HAY IS FED (BUCKS) = total number of days bucks are fed feed and hay during the year (breeding and confinement)</t>
  </si>
  <si>
    <t>DOES KEPT FOR REPLACEMENT = number of does kept from the kid crop for replacement in the operation</t>
  </si>
  <si>
    <t>AMOUNT FINANCED = total amount of money borrowed to fund the operation</t>
  </si>
  <si>
    <t>ANNUAL INTEREST RATE = annualized interest rate of money borrowed</t>
  </si>
  <si>
    <t>AVG. AMOUNT OF HAY FED/HEAD/DAY (DOES) = the average number of pounds of hay fed to does each day while hay is provided</t>
  </si>
  <si>
    <t>NUMBER OF DAYS HAY IS FED (DOES) = the number of days hay is fed to does during the year</t>
  </si>
  <si>
    <t>AVG. AMOUNT OF FEED FED/HEAD/DAY (DOES) = the average number of pounds of feed fed to does each day while feed is provided</t>
  </si>
  <si>
    <t>NUMBER OF DAYS FEED IS FED (DOES) = the number of days feed is fed to does during the year</t>
  </si>
  <si>
    <t>DAYS OF CREEP FEEDING (KIDS) = total number of days kids are provided creep feed during the year</t>
  </si>
  <si>
    <t>LBS CREEP FEED FED/HEAD/DAY (KIDS) = average pounds of feed provided to kids each day by way of creep feeding</t>
  </si>
  <si>
    <t>AVG. KID SALE WEIGHT (LBS) = average weight of kids sold at market</t>
  </si>
  <si>
    <t>DOE VALUE ($/HEAD) = average value of each doe in the operation</t>
  </si>
  <si>
    <t>BUCK VALUE ($/HEAD) = average value of each buck in the operation</t>
  </si>
  <si>
    <t>MARKET KID PRICE ($/LB) = average price per pound for all market kids sold</t>
  </si>
  <si>
    <t>CULL DOE PRICE ($/LB) = average price per pound for all does sold as culls</t>
  </si>
  <si>
    <t>Supplemental Feed (does) = cost per pound for the feed that is provided to does</t>
  </si>
  <si>
    <t>Creep Feed (kids) = cost per pound for the feed provided to kids (as a creep feed)</t>
  </si>
  <si>
    <t>Hay = cost per round bale for hay</t>
  </si>
  <si>
    <t>Salt &amp; Mineral = cost per pound of salt and/or mineral provided during the year</t>
  </si>
  <si>
    <t>Vet &amp; Medicine = cost per head of all vet and medical supplies provided to does and buck during the year</t>
  </si>
  <si>
    <t>Deworming – breeding stock = cost per single dose to deworm breeding stock</t>
  </si>
  <si>
    <t>Deworming –  kids = cost per single dose to deworm kids</t>
  </si>
  <si>
    <t>Vaccinations – breeding stock =  cost per single dose to vaccinate breeding stock</t>
  </si>
  <si>
    <t>Vaccinations –  kids = cost per single dose to vaccinate kids</t>
  </si>
  <si>
    <t>Hired Labor = cost per hour for hired help</t>
  </si>
  <si>
    <t>Marketing Expenses = cost per head to market all goats sold from the operation each year (include yardage and commission)</t>
  </si>
  <si>
    <t xml:space="preserve">     -- If feeding square bales: one round bale equals approximately 17 square bales. To calculate hay cost multiply individual square bale cost times 17.</t>
  </si>
  <si>
    <t xml:space="preserve">FACILITIES AND EQUIPMENT USED IN DIRECT &amp; FIXED EXPENSE SECTIONS: </t>
  </si>
  <si>
    <t>per Doe</t>
  </si>
  <si>
    <t xml:space="preserve">Instructions: Enter your farm's values in the green cells. </t>
  </si>
  <si>
    <t>Annual Financing Expenses</t>
  </si>
  <si>
    <t>Land Rent</t>
  </si>
  <si>
    <t>Acre</t>
  </si>
  <si>
    <t>Disclaimer: This spreadsheet is provided by the Mississippi State University Extension Service for eductational use. It is provided solely on an "AS IS" basis. MSU-ES assumes no liabiltly for the use of this spreadsheet.</t>
  </si>
  <si>
    <t>DIRECT (OPERATING) EXPENSES</t>
  </si>
  <si>
    <t>Interest on Breeding Stock</t>
  </si>
  <si>
    <t>YEARS OF BUCK USE</t>
  </si>
  <si>
    <t>bermuda, dallisgrass, mixed grasses),Mississippi 2017</t>
  </si>
  <si>
    <t>Note: Cost of production estimates are based on 2017 input prices.</t>
  </si>
  <si>
    <t>KIDS WEANED/DOE = average number of kids weaned per doe each year (total number of kids born divided by the total number of does minus death loss)</t>
  </si>
  <si>
    <t>YEARS OF BUCK USE = years that you plan to use buck before culling</t>
  </si>
  <si>
    <t>Pasture Cost = annual cost of pasture maintenance. Pulled from 2017 Mississippi State Forage Budgets. Detailed on mix_grass_budget tab.</t>
  </si>
  <si>
    <t>Misc. Supplies = any additional supplies not included above</t>
  </si>
  <si>
    <t xml:space="preserve">Land Rent = annual cost to rent one acre of pastureland. </t>
  </si>
  <si>
    <t>Review the information in the green cells – to change specific values, enter your own values green cells</t>
  </si>
  <si>
    <t>OPTIONAL: Review the orange cells under “Direct Expenses” section – to change specific prices, enter your own values in these cells</t>
  </si>
  <si>
    <t>Contact: Dr. Josh Maples at josh.maples@msstate.edu, or Mr. Kipp Brown at kipp.brown@msstate.edu</t>
  </si>
  <si>
    <t>The values in the orange cells are pre-filled using averages but may be adjusted for your farm.</t>
  </si>
  <si>
    <t>Mississippi Small Ruminant Production Budget</t>
  </si>
  <si>
    <t>FEMALES PER ACRE</t>
  </si>
  <si>
    <t>FEMALES KEPT FOR REPLACEMENT</t>
  </si>
  <si>
    <t>EWE/DOE VALUE ($/HEAD)</t>
  </si>
  <si>
    <t>NUMBER OF DOES</t>
  </si>
  <si>
    <t>CULLING RATE (DOES)</t>
  </si>
  <si>
    <t>DEATH LOSS (DOES)</t>
  </si>
  <si>
    <t>KIDS WEANED PER DOE PER YEAR</t>
  </si>
  <si>
    <t>LABOR (HOURS/DOE)</t>
  </si>
  <si>
    <t>AVG. AMOUNT OF HAY FED/HEAD/DAY (DOES)</t>
  </si>
  <si>
    <t>NUMBER OF DAYS HAY IS FED (DOES)</t>
  </si>
  <si>
    <t>AVG. AMOUNT OF FEED FED/HEAD/DAY (DOES)</t>
  </si>
  <si>
    <t>NUMBER OF DAYS FEED IS FED (DOES)</t>
  </si>
  <si>
    <t>LBS CREEP FEED FED/HEAD/DAY (KIDS)</t>
  </si>
  <si>
    <t>DAYS OF CREEP FEEDING (KIDS)</t>
  </si>
  <si>
    <t>MARKET KID PRICE ($/LB)</t>
  </si>
  <si>
    <t>AVG. KID SALE WEIGHT (LBS)</t>
  </si>
  <si>
    <t>CULL DOE PRICE ($/LB)</t>
  </si>
  <si>
    <t>AVG. DOE WEIGHT (LBS)</t>
  </si>
  <si>
    <t>Market Kids per Year</t>
  </si>
  <si>
    <t>Cull Does per Year</t>
  </si>
  <si>
    <t>Creep Feed (kids)</t>
  </si>
  <si>
    <t>Supplemental Feed (does)</t>
  </si>
  <si>
    <t>For sheep terminology, DOES=EWES, BUCKS=RAMS, and KIDS=LAMBS</t>
  </si>
  <si>
    <t xml:space="preserve">      kids</t>
  </si>
  <si>
    <t>Doe Replacement (Assumes Death Loss Specified)</t>
  </si>
  <si>
    <t>DEATH LOSS (DOES &amp; KIDS) = percentage of does and kids that die from birth through marketing</t>
  </si>
  <si>
    <t>Note: The Blue Cells Do Not Reset by Clicking the Reset Button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</si>
</sst>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&quot;$&quot;* #,##0_);_(&quot;$&quot;* \(#,##0\);_(&quot;$&quot;* &quot;-&quot;??_);_(@_)"/>
    <numFmt numFmtId="166" formatCode="#,##0.0"/>
    <numFmt numFmtId="167" formatCode="&quot;$&quot;#,##0.00"/>
    <numFmt numFmtId="168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44" fontId="0" fillId="0" borderId="0" xfId="0" applyNumberFormat="1"/>
    <xf numFmtId="44" fontId="1" fillId="0" borderId="0" xfId="1" applyFont="1"/>
    <xf numFmtId="0" fontId="0" fillId="0" borderId="0" xfId="0" applyProtection="1"/>
    <xf numFmtId="0" fontId="0" fillId="0" borderId="1" xfId="0" applyBorder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horizontal="right"/>
    </xf>
    <xf numFmtId="0" fontId="0" fillId="0" borderId="1" xfId="0" applyFill="1" applyBorder="1" applyAlignment="1" applyProtection="1">
      <alignment horizontal="center"/>
    </xf>
    <xf numFmtId="166" fontId="0" fillId="0" borderId="0" xfId="0" applyNumberFormat="1" applyAlignment="1" applyProtection="1">
      <alignment horizontal="center"/>
    </xf>
    <xf numFmtId="167" fontId="0" fillId="0" borderId="0" xfId="1" applyNumberFormat="1" applyFont="1" applyAlignment="1" applyProtection="1">
      <alignment horizontal="right"/>
    </xf>
    <xf numFmtId="7" fontId="0" fillId="0" borderId="0" xfId="0" applyNumberFormat="1" applyAlignment="1" applyProtection="1">
      <alignment horizontal="right"/>
    </xf>
    <xf numFmtId="167" fontId="0" fillId="0" borderId="0" xfId="0" applyNumberFormat="1" applyAlignment="1" applyProtection="1">
      <alignment horizontal="right"/>
    </xf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0" fillId="3" borderId="0" xfId="0" applyFill="1" applyAlignment="1" applyProtection="1">
      <alignment horizontal="right"/>
    </xf>
    <xf numFmtId="166" fontId="0" fillId="3" borderId="0" xfId="0" applyNumberFormat="1" applyFill="1" applyAlignment="1" applyProtection="1">
      <alignment horizontal="center"/>
    </xf>
    <xf numFmtId="167" fontId="0" fillId="3" borderId="0" xfId="0" applyNumberFormat="1" applyFill="1" applyAlignment="1" applyProtection="1">
      <alignment horizontal="right"/>
    </xf>
    <xf numFmtId="7" fontId="0" fillId="3" borderId="3" xfId="0" applyNumberFormat="1" applyFill="1" applyBorder="1" applyAlignment="1" applyProtection="1">
      <alignment horizontal="right"/>
    </xf>
    <xf numFmtId="0" fontId="0" fillId="0" borderId="0" xfId="0" quotePrefix="1" applyProtection="1"/>
    <xf numFmtId="164" fontId="0" fillId="0" borderId="0" xfId="0" applyNumberFormat="1" applyAlignment="1" applyProtection="1">
      <alignment horizontal="center"/>
    </xf>
    <xf numFmtId="7" fontId="0" fillId="0" borderId="0" xfId="1" applyNumberFormat="1" applyFont="1" applyAlignment="1" applyProtection="1">
      <alignment horizontal="right"/>
    </xf>
    <xf numFmtId="7" fontId="0" fillId="3" borderId="2" xfId="0" applyNumberFormat="1" applyFill="1" applyBorder="1" applyAlignment="1" applyProtection="1">
      <alignment horizontal="right"/>
    </xf>
    <xf numFmtId="0" fontId="7" fillId="4" borderId="0" xfId="0" applyFont="1" applyFill="1" applyProtection="1"/>
    <xf numFmtId="0" fontId="7" fillId="4" borderId="0" xfId="0" applyFont="1" applyFill="1" applyAlignment="1" applyProtection="1">
      <alignment horizontal="center"/>
    </xf>
    <xf numFmtId="0" fontId="7" fillId="4" borderId="0" xfId="0" applyFont="1" applyFill="1" applyAlignment="1" applyProtection="1">
      <alignment horizontal="right"/>
    </xf>
    <xf numFmtId="167" fontId="7" fillId="4" borderId="0" xfId="0" applyNumberFormat="1" applyFont="1" applyFill="1" applyAlignment="1" applyProtection="1">
      <alignment horizontal="right"/>
    </xf>
    <xf numFmtId="7" fontId="7" fillId="4" borderId="0" xfId="0" applyNumberFormat="1" applyFont="1" applyFill="1" applyBorder="1" applyAlignment="1" applyProtection="1">
      <alignment horizontal="right"/>
    </xf>
    <xf numFmtId="7" fontId="0" fillId="3" borderId="4" xfId="0" applyNumberFormat="1" applyFill="1" applyBorder="1" applyAlignment="1" applyProtection="1">
      <alignment horizontal="right"/>
    </xf>
    <xf numFmtId="7" fontId="0" fillId="0" borderId="0" xfId="0" applyNumberFormat="1" applyBorder="1" applyAlignment="1" applyProtection="1">
      <alignment horizontal="right"/>
    </xf>
    <xf numFmtId="0" fontId="6" fillId="4" borderId="0" xfId="0" applyFont="1" applyFill="1" applyProtection="1"/>
    <xf numFmtId="0" fontId="6" fillId="4" borderId="0" xfId="0" applyFont="1" applyFill="1" applyAlignment="1" applyProtection="1">
      <alignment horizontal="center"/>
    </xf>
    <xf numFmtId="0" fontId="6" fillId="4" borderId="0" xfId="0" applyFont="1" applyFill="1" applyAlignment="1" applyProtection="1">
      <alignment horizontal="right"/>
    </xf>
    <xf numFmtId="7" fontId="6" fillId="4" borderId="3" xfId="0" applyNumberFormat="1" applyFont="1" applyFill="1" applyBorder="1" applyAlignment="1" applyProtection="1">
      <alignment horizontal="right"/>
    </xf>
    <xf numFmtId="167" fontId="0" fillId="0" borderId="0" xfId="1" applyNumberFormat="1" applyFont="1" applyFill="1" applyAlignment="1" applyProtection="1">
      <alignment horizontal="right"/>
    </xf>
    <xf numFmtId="0" fontId="0" fillId="5" borderId="0" xfId="0" applyFill="1" applyProtection="1">
      <protection locked="0"/>
    </xf>
    <xf numFmtId="2" fontId="0" fillId="5" borderId="0" xfId="0" applyNumberFormat="1" applyFill="1" applyProtection="1">
      <protection locked="0"/>
    </xf>
    <xf numFmtId="164" fontId="0" fillId="5" borderId="0" xfId="2" applyNumberFormat="1" applyFont="1" applyFill="1" applyProtection="1">
      <protection locked="0"/>
    </xf>
    <xf numFmtId="43" fontId="0" fillId="5" borderId="0" xfId="3" applyFont="1" applyFill="1" applyAlignment="1" applyProtection="1">
      <alignment horizontal="center"/>
      <protection locked="0"/>
    </xf>
    <xf numFmtId="1" fontId="0" fillId="5" borderId="0" xfId="0" applyNumberFormat="1" applyFill="1" applyProtection="1">
      <protection locked="0"/>
    </xf>
    <xf numFmtId="43" fontId="0" fillId="5" borderId="0" xfId="3" applyFont="1" applyFill="1" applyProtection="1">
      <protection locked="0"/>
    </xf>
    <xf numFmtId="1" fontId="0" fillId="0" borderId="0" xfId="0" applyNumberFormat="1" applyAlignment="1" applyProtection="1">
      <alignment horizontal="center"/>
    </xf>
    <xf numFmtId="3" fontId="0" fillId="0" borderId="0" xfId="0" applyNumberFormat="1" applyAlignment="1" applyProtection="1">
      <alignment horizontal="center"/>
    </xf>
    <xf numFmtId="1" fontId="0" fillId="5" borderId="0" xfId="3" applyNumberFormat="1" applyFont="1" applyFill="1" applyProtection="1">
      <protection locked="0"/>
    </xf>
    <xf numFmtId="167" fontId="0" fillId="5" borderId="0" xfId="3" applyNumberFormat="1" applyFont="1" applyFill="1" applyProtection="1">
      <protection locked="0"/>
    </xf>
    <xf numFmtId="0" fontId="8" fillId="0" borderId="0" xfId="0" quotePrefix="1" applyFont="1" applyProtection="1"/>
    <xf numFmtId="167" fontId="0" fillId="0" borderId="0" xfId="0" applyNumberFormat="1" applyFill="1" applyAlignment="1" applyProtection="1">
      <alignment horizontal="right"/>
    </xf>
    <xf numFmtId="0" fontId="9" fillId="0" borderId="5" xfId="0" applyFont="1" applyBorder="1" applyAlignment="1">
      <alignment horizontal="justify"/>
    </xf>
    <xf numFmtId="0" fontId="9" fillId="3" borderId="5" xfId="0" applyFont="1" applyFill="1" applyBorder="1" applyAlignment="1">
      <alignment horizontal="justify"/>
    </xf>
    <xf numFmtId="0" fontId="0" fillId="6" borderId="0" xfId="0" applyFill="1" applyAlignment="1">
      <alignment horizontal="justify"/>
    </xf>
    <xf numFmtId="0" fontId="9" fillId="0" borderId="6" xfId="0" applyFont="1" applyBorder="1" applyAlignment="1">
      <alignment horizontal="justify"/>
    </xf>
    <xf numFmtId="0" fontId="9" fillId="0" borderId="7" xfId="0" quotePrefix="1" applyFont="1" applyBorder="1" applyAlignment="1">
      <alignment horizontal="justify"/>
    </xf>
    <xf numFmtId="0" fontId="0" fillId="0" borderId="10" xfId="0" applyBorder="1" applyProtection="1"/>
    <xf numFmtId="0" fontId="0" fillId="0" borderId="11" xfId="0" applyBorder="1" applyProtection="1"/>
    <xf numFmtId="0" fontId="0" fillId="0" borderId="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44" fontId="0" fillId="0" borderId="0" xfId="1" applyFont="1" applyBorder="1" applyProtection="1"/>
    <xf numFmtId="165" fontId="0" fillId="0" borderId="0" xfId="1" applyNumberFormat="1" applyFont="1" applyBorder="1" applyProtection="1"/>
    <xf numFmtId="44" fontId="0" fillId="0" borderId="0" xfId="0" applyNumberFormat="1" applyBorder="1" applyProtection="1"/>
    <xf numFmtId="44" fontId="0" fillId="0" borderId="11" xfId="0" applyNumberFormat="1" applyBorder="1" applyProtection="1"/>
    <xf numFmtId="0" fontId="0" fillId="0" borderId="12" xfId="0" applyBorder="1" applyProtection="1"/>
    <xf numFmtId="44" fontId="0" fillId="0" borderId="1" xfId="0" applyNumberFormat="1" applyBorder="1" applyProtection="1"/>
    <xf numFmtId="44" fontId="0" fillId="0" borderId="13" xfId="0" applyNumberFormat="1" applyBorder="1" applyProtection="1"/>
    <xf numFmtId="0" fontId="6" fillId="4" borderId="8" xfId="0" applyFont="1" applyFill="1" applyBorder="1" applyProtection="1"/>
    <xf numFmtId="0" fontId="6" fillId="4" borderId="4" xfId="0" applyFont="1" applyFill="1" applyBorder="1" applyProtection="1"/>
    <xf numFmtId="0" fontId="6" fillId="4" borderId="9" xfId="0" applyFont="1" applyFill="1" applyBorder="1" applyProtection="1"/>
    <xf numFmtId="167" fontId="0" fillId="0" borderId="1" xfId="0" applyNumberFormat="1" applyBorder="1" applyProtection="1"/>
    <xf numFmtId="0" fontId="0" fillId="7" borderId="0" xfId="0" applyFill="1" applyProtection="1"/>
    <xf numFmtId="167" fontId="0" fillId="8" borderId="0" xfId="0" applyNumberFormat="1" applyFill="1" applyAlignment="1" applyProtection="1">
      <alignment horizontal="right"/>
    </xf>
    <xf numFmtId="167" fontId="0" fillId="8" borderId="0" xfId="0" applyNumberFormat="1" applyFill="1" applyAlignment="1" applyProtection="1">
      <alignment horizontal="right"/>
      <protection locked="0"/>
    </xf>
    <xf numFmtId="167" fontId="0" fillId="8" borderId="0" xfId="1" applyNumberFormat="1" applyFont="1" applyFill="1" applyAlignment="1" applyProtection="1">
      <alignment horizontal="right"/>
      <protection locked="0"/>
    </xf>
    <xf numFmtId="167" fontId="0" fillId="0" borderId="0" xfId="0" applyNumberFormat="1" applyProtection="1"/>
    <xf numFmtId="167" fontId="0" fillId="8" borderId="0" xfId="0" applyNumberFormat="1" applyFill="1" applyProtection="1"/>
    <xf numFmtId="9" fontId="0" fillId="0" borderId="0" xfId="2" applyFont="1" applyAlignment="1" applyProtection="1">
      <alignment horizontal="right"/>
    </xf>
    <xf numFmtId="44" fontId="1" fillId="0" borderId="0" xfId="1" applyFont="1" applyFill="1"/>
    <xf numFmtId="168" fontId="0" fillId="5" borderId="0" xfId="3" applyNumberFormat="1" applyFont="1" applyFill="1" applyProtection="1">
      <protection locked="0"/>
    </xf>
    <xf numFmtId="168" fontId="0" fillId="5" borderId="0" xfId="0" applyNumberFormat="1" applyFill="1" applyProtection="1">
      <protection locked="0"/>
    </xf>
    <xf numFmtId="1" fontId="0" fillId="5" borderId="0" xfId="3" applyNumberFormat="1" applyFont="1" applyFill="1" applyAlignment="1" applyProtection="1">
      <alignment horizontal="right"/>
      <protection locked="0"/>
    </xf>
    <xf numFmtId="167" fontId="0" fillId="5" borderId="0" xfId="1" applyNumberFormat="1" applyFont="1" applyFill="1" applyProtection="1">
      <protection locked="0"/>
    </xf>
    <xf numFmtId="0" fontId="11" fillId="7" borderId="5" xfId="0" applyFont="1" applyFill="1" applyBorder="1" applyAlignment="1">
      <alignment horizontal="justify"/>
    </xf>
    <xf numFmtId="0" fontId="11" fillId="7" borderId="5" xfId="0" applyFont="1" applyFill="1" applyBorder="1" applyAlignment="1">
      <alignment horizontal="left" vertical="center"/>
    </xf>
    <xf numFmtId="0" fontId="9" fillId="9" borderId="5" xfId="0" applyFont="1" applyFill="1" applyBorder="1" applyAlignment="1">
      <alignment horizontal="justify"/>
    </xf>
    <xf numFmtId="0" fontId="12" fillId="0" borderId="0" xfId="0" applyFont="1" applyProtection="1"/>
    <xf numFmtId="0" fontId="0" fillId="7" borderId="0" xfId="0" applyFill="1" applyAlignment="1" applyProtection="1">
      <alignment horizontal="left"/>
    </xf>
    <xf numFmtId="0" fontId="5" fillId="2" borderId="14" xfId="0" applyFont="1" applyFill="1" applyBorder="1" applyAlignment="1" applyProtection="1">
      <alignment horizontal="center"/>
    </xf>
    <xf numFmtId="0" fontId="5" fillId="2" borderId="15" xfId="0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0" fillId="7" borderId="4" xfId="0" applyFill="1" applyBorder="1" applyAlignment="1" applyProtection="1">
      <alignment horizontal="left" vertical="center"/>
    </xf>
    <xf numFmtId="0" fontId="0" fillId="0" borderId="0" xfId="0" applyAlignment="1" applyProtection="1">
      <alignment horizontal="left" wrapText="1"/>
    </xf>
    <xf numFmtId="0" fontId="0" fillId="7" borderId="4" xfId="0" applyFill="1" applyBorder="1" applyAlignment="1" applyProtection="1">
      <alignment horizontal="left"/>
    </xf>
    <xf numFmtId="0" fontId="0" fillId="10" borderId="0" xfId="0" applyFill="1" applyBorder="1" applyProtection="1"/>
    <xf numFmtId="44" fontId="0" fillId="10" borderId="0" xfId="1" applyFont="1" applyFill="1" applyBorder="1" applyProtection="1"/>
    <xf numFmtId="9" fontId="0" fillId="10" borderId="0" xfId="2" applyFont="1" applyFill="1" applyBorder="1" applyAlignment="1" applyProtection="1">
      <alignment horizontal="center"/>
    </xf>
    <xf numFmtId="164" fontId="0" fillId="10" borderId="0" xfId="2" applyNumberFormat="1" applyFont="1" applyFill="1" applyBorder="1" applyProtection="1"/>
    <xf numFmtId="0" fontId="13" fillId="10" borderId="1" xfId="0" applyFont="1" applyFill="1" applyBorder="1" applyAlignment="1" applyProtection="1">
      <alignment horizontal="center"/>
    </xf>
    <xf numFmtId="0" fontId="0" fillId="10" borderId="1" xfId="0" applyFill="1" applyBorder="1" applyAlignment="1" applyProtection="1">
      <alignment horizontal="center"/>
    </xf>
  </cellXfs>
  <cellStyles count="42">
    <cellStyle name="Comma" xfId="3" builtinId="3"/>
    <cellStyle name="Currency" xfId="1" builtinId="4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5</xdr:row>
          <xdr:rowOff>66675</xdr:rowOff>
        </xdr:from>
        <xdr:to>
          <xdr:col>8</xdr:col>
          <xdr:colOff>571500</xdr:colOff>
          <xdr:row>6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Reset Green and Orange Cells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971551</xdr:colOff>
          <xdr:row>5</xdr:row>
          <xdr:rowOff>76200</xdr:rowOff>
        </xdr:from>
        <xdr:to>
          <xdr:col>6</xdr:col>
          <xdr:colOff>9526</xdr:colOff>
          <xdr:row>6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48"/>
  <sheetViews>
    <sheetView showGridLines="0" workbookViewId="0">
      <selection activeCell="A49" sqref="A49"/>
    </sheetView>
  </sheetViews>
  <sheetFormatPr defaultRowHeight="15" x14ac:dyDescent="0.25"/>
  <cols>
    <col min="1" max="1" width="185.7109375" customWidth="1"/>
    <col min="8" max="8" width="17.140625" customWidth="1"/>
  </cols>
  <sheetData>
    <row r="1" spans="1:1" ht="15.75" customHeight="1" x14ac:dyDescent="0.25"/>
    <row r="2" spans="1:1" ht="25.5" customHeight="1" x14ac:dyDescent="0.25">
      <c r="A2" s="81" t="s">
        <v>158</v>
      </c>
    </row>
    <row r="3" spans="1:1" ht="15.75" x14ac:dyDescent="0.25">
      <c r="A3" s="83" t="s">
        <v>106</v>
      </c>
    </row>
    <row r="4" spans="1:1" ht="15.75" x14ac:dyDescent="0.25">
      <c r="A4" s="50" t="s">
        <v>107</v>
      </c>
    </row>
    <row r="5" spans="1:1" ht="15.75" x14ac:dyDescent="0.25">
      <c r="A5" s="49" t="s">
        <v>108</v>
      </c>
    </row>
    <row r="6" spans="1:1" ht="15.75" x14ac:dyDescent="0.25">
      <c r="A6" s="50" t="s">
        <v>115</v>
      </c>
    </row>
    <row r="7" spans="1:1" ht="15.75" x14ac:dyDescent="0.25">
      <c r="A7" s="83" t="s">
        <v>188</v>
      </c>
    </row>
    <row r="8" spans="1:1" ht="15.75" x14ac:dyDescent="0.25">
      <c r="A8" s="50" t="s">
        <v>153</v>
      </c>
    </row>
    <row r="9" spans="1:1" ht="15.75" x14ac:dyDescent="0.25">
      <c r="A9" s="49" t="s">
        <v>111</v>
      </c>
    </row>
    <row r="10" spans="1:1" ht="15.75" x14ac:dyDescent="0.25">
      <c r="A10" s="50" t="s">
        <v>154</v>
      </c>
    </row>
    <row r="11" spans="1:1" ht="15.75" x14ac:dyDescent="0.25">
      <c r="A11" s="49" t="s">
        <v>126</v>
      </c>
    </row>
    <row r="12" spans="1:1" ht="15.75" x14ac:dyDescent="0.25">
      <c r="A12" s="50" t="s">
        <v>125</v>
      </c>
    </row>
    <row r="13" spans="1:1" ht="15.75" x14ac:dyDescent="0.25">
      <c r="A13" s="49" t="s">
        <v>109</v>
      </c>
    </row>
    <row r="14" spans="1:1" ht="15.75" x14ac:dyDescent="0.25">
      <c r="A14" s="50" t="s">
        <v>116</v>
      </c>
    </row>
    <row r="15" spans="1:1" ht="15.75" x14ac:dyDescent="0.25">
      <c r="A15" s="49" t="s">
        <v>117</v>
      </c>
    </row>
    <row r="16" spans="1:1" ht="15.75" x14ac:dyDescent="0.25">
      <c r="A16" s="50" t="s">
        <v>118</v>
      </c>
    </row>
    <row r="17" spans="1:4" ht="15.75" x14ac:dyDescent="0.25">
      <c r="A17" s="49" t="s">
        <v>119</v>
      </c>
    </row>
    <row r="18" spans="1:4" ht="15.75" x14ac:dyDescent="0.25">
      <c r="A18" s="50" t="s">
        <v>120</v>
      </c>
    </row>
    <row r="19" spans="1:4" ht="15.75" x14ac:dyDescent="0.25">
      <c r="A19" s="49" t="s">
        <v>121</v>
      </c>
    </row>
    <row r="20" spans="1:4" ht="15.75" x14ac:dyDescent="0.25">
      <c r="A20" s="50" t="s">
        <v>112</v>
      </c>
    </row>
    <row r="21" spans="1:4" ht="15.75" x14ac:dyDescent="0.25">
      <c r="A21" s="49" t="s">
        <v>113</v>
      </c>
    </row>
    <row r="22" spans="1:4" ht="15.75" x14ac:dyDescent="0.25">
      <c r="A22" s="50" t="s">
        <v>114</v>
      </c>
    </row>
    <row r="23" spans="1:4" ht="15.75" x14ac:dyDescent="0.25">
      <c r="A23" s="83" t="s">
        <v>123</v>
      </c>
    </row>
    <row r="24" spans="1:4" ht="15.75" x14ac:dyDescent="0.25">
      <c r="A24" s="50" t="s">
        <v>122</v>
      </c>
    </row>
    <row r="25" spans="1:4" ht="15.75" x14ac:dyDescent="0.25">
      <c r="A25" s="83" t="s">
        <v>127</v>
      </c>
    </row>
    <row r="26" spans="1:4" ht="15.75" x14ac:dyDescent="0.25">
      <c r="A26" s="50" t="s">
        <v>124</v>
      </c>
    </row>
    <row r="27" spans="1:4" ht="15.75" x14ac:dyDescent="0.25">
      <c r="A27" s="49" t="s">
        <v>128</v>
      </c>
    </row>
    <row r="28" spans="1:4" ht="15.75" x14ac:dyDescent="0.25">
      <c r="A28" s="50" t="s">
        <v>110</v>
      </c>
    </row>
    <row r="29" spans="1:4" x14ac:dyDescent="0.25">
      <c r="A29" s="51"/>
    </row>
    <row r="30" spans="1:4" ht="28.5" customHeight="1" x14ac:dyDescent="0.25">
      <c r="A30" s="82" t="s">
        <v>159</v>
      </c>
    </row>
    <row r="31" spans="1:4" ht="15.75" x14ac:dyDescent="0.25">
      <c r="A31" s="50" t="s">
        <v>155</v>
      </c>
      <c r="D31" s="3"/>
    </row>
    <row r="32" spans="1:4" ht="15.75" x14ac:dyDescent="0.25">
      <c r="A32" s="49" t="s">
        <v>129</v>
      </c>
      <c r="D32" s="3"/>
    </row>
    <row r="33" spans="1:4" ht="15.75" x14ac:dyDescent="0.25">
      <c r="A33" s="50" t="s">
        <v>130</v>
      </c>
      <c r="D33" s="3"/>
    </row>
    <row r="34" spans="1:4" ht="15.75" x14ac:dyDescent="0.25">
      <c r="A34" s="52" t="s">
        <v>131</v>
      </c>
      <c r="D34" s="3"/>
    </row>
    <row r="35" spans="1:4" ht="15.75" x14ac:dyDescent="0.25">
      <c r="A35" s="53" t="s">
        <v>140</v>
      </c>
      <c r="D35" s="3"/>
    </row>
    <row r="36" spans="1:4" ht="15.75" x14ac:dyDescent="0.25">
      <c r="A36" s="50" t="s">
        <v>132</v>
      </c>
      <c r="D36" s="3"/>
    </row>
    <row r="37" spans="1:4" ht="15.75" x14ac:dyDescent="0.25">
      <c r="A37" s="49" t="s">
        <v>133</v>
      </c>
      <c r="D37" s="47"/>
    </row>
    <row r="38" spans="1:4" ht="15.75" x14ac:dyDescent="0.25">
      <c r="A38" s="50" t="s">
        <v>134</v>
      </c>
      <c r="D38" s="21"/>
    </row>
    <row r="39" spans="1:4" ht="15.75" x14ac:dyDescent="0.25">
      <c r="A39" s="49" t="s">
        <v>135</v>
      </c>
      <c r="D39" s="21"/>
    </row>
    <row r="40" spans="1:4" ht="15.75" x14ac:dyDescent="0.25">
      <c r="A40" s="50" t="s">
        <v>136</v>
      </c>
      <c r="D40" s="47"/>
    </row>
    <row r="41" spans="1:4" ht="15.75" x14ac:dyDescent="0.25">
      <c r="A41" s="49" t="s">
        <v>137</v>
      </c>
      <c r="D41" s="21"/>
    </row>
    <row r="42" spans="1:4" ht="15.75" x14ac:dyDescent="0.25">
      <c r="A42" s="50" t="s">
        <v>138</v>
      </c>
      <c r="D42" s="21"/>
    </row>
    <row r="43" spans="1:4" ht="15.75" x14ac:dyDescent="0.25">
      <c r="A43" s="83" t="s">
        <v>156</v>
      </c>
      <c r="D43" s="21"/>
    </row>
    <row r="44" spans="1:4" ht="15.75" x14ac:dyDescent="0.25">
      <c r="A44" s="50" t="s">
        <v>157</v>
      </c>
      <c r="D44" s="3"/>
    </row>
    <row r="45" spans="1:4" ht="15.75" x14ac:dyDescent="0.25">
      <c r="A45" s="49" t="s">
        <v>139</v>
      </c>
    </row>
    <row r="46" spans="1:4" x14ac:dyDescent="0.25">
      <c r="D46" s="3"/>
    </row>
    <row r="47" spans="1:4" x14ac:dyDescent="0.25">
      <c r="D47" s="3"/>
    </row>
    <row r="48" spans="1:4" x14ac:dyDescent="0.25">
      <c r="D4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N90"/>
  <sheetViews>
    <sheetView showGridLines="0" tabSelected="1" workbookViewId="0">
      <selection activeCell="H45" sqref="H45"/>
    </sheetView>
  </sheetViews>
  <sheetFormatPr defaultColWidth="8.85546875" defaultRowHeight="15" x14ac:dyDescent="0.25"/>
  <cols>
    <col min="1" max="1" width="3" style="3" customWidth="1"/>
    <col min="2" max="2" width="11.42578125" style="3" bestFit="1" customWidth="1"/>
    <col min="3" max="3" width="8.85546875" style="3"/>
    <col min="4" max="4" width="20" style="3" customWidth="1"/>
    <col min="5" max="5" width="16.5703125" style="3" customWidth="1"/>
    <col min="6" max="9" width="12.140625" style="3" customWidth="1"/>
    <col min="10" max="10" width="11.28515625" style="3" customWidth="1"/>
    <col min="11" max="16384" width="8.85546875" style="3"/>
  </cols>
  <sheetData>
    <row r="1" spans="1:10" ht="28.5" x14ac:dyDescent="0.45">
      <c r="A1" s="86" t="s">
        <v>162</v>
      </c>
      <c r="B1" s="87"/>
      <c r="C1" s="87"/>
      <c r="D1" s="87"/>
      <c r="E1" s="87"/>
      <c r="F1" s="87"/>
      <c r="G1" s="87"/>
      <c r="H1" s="87"/>
      <c r="I1" s="87"/>
      <c r="J1" s="88"/>
    </row>
    <row r="2" spans="1:10" ht="11.25" customHeight="1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</row>
    <row r="3" spans="1:10" ht="19.5" customHeight="1" x14ac:dyDescent="0.25">
      <c r="A3" s="89" t="s">
        <v>143</v>
      </c>
      <c r="B3" s="89"/>
      <c r="C3" s="89"/>
      <c r="D3" s="89"/>
      <c r="E3" s="89"/>
      <c r="F3" s="89"/>
      <c r="G3" s="89"/>
      <c r="H3" s="89"/>
      <c r="I3" s="89"/>
      <c r="J3" s="89"/>
    </row>
    <row r="4" spans="1:10" ht="19.5" customHeight="1" x14ac:dyDescent="0.25">
      <c r="A4" s="89" t="s">
        <v>161</v>
      </c>
      <c r="B4" s="89"/>
      <c r="C4" s="89"/>
      <c r="D4" s="89"/>
      <c r="E4" s="89"/>
      <c r="F4" s="89"/>
      <c r="G4" s="89"/>
      <c r="H4" s="89"/>
      <c r="I4" s="89"/>
      <c r="J4" s="89"/>
    </row>
    <row r="5" spans="1:10" ht="21.75" customHeight="1" x14ac:dyDescent="0.25">
      <c r="A5" s="89" t="s">
        <v>185</v>
      </c>
      <c r="B5" s="89"/>
      <c r="C5" s="89"/>
      <c r="D5" s="89"/>
      <c r="E5" s="89"/>
      <c r="F5" s="89"/>
      <c r="G5" s="89"/>
      <c r="H5" s="89"/>
      <c r="I5" s="89"/>
      <c r="J5" s="89"/>
    </row>
    <row r="7" spans="1:10" x14ac:dyDescent="0.25">
      <c r="A7" s="4" t="s">
        <v>12</v>
      </c>
      <c r="B7" s="4"/>
      <c r="C7" s="4"/>
      <c r="D7" s="4"/>
      <c r="E7" s="4"/>
      <c r="F7" s="4"/>
      <c r="G7" s="4"/>
      <c r="H7" s="4"/>
      <c r="I7" s="4"/>
    </row>
    <row r="8" spans="1:10" x14ac:dyDescent="0.25">
      <c r="A8" s="69"/>
      <c r="B8" s="37">
        <v>25</v>
      </c>
      <c r="C8" s="90" t="s">
        <v>166</v>
      </c>
      <c r="D8" s="90"/>
      <c r="E8" s="90"/>
      <c r="F8" s="78">
        <v>2</v>
      </c>
      <c r="G8" s="92" t="s">
        <v>171</v>
      </c>
      <c r="H8" s="92"/>
      <c r="I8" s="92"/>
      <c r="J8" s="92"/>
    </row>
    <row r="9" spans="1:10" x14ac:dyDescent="0.25">
      <c r="A9" s="69"/>
      <c r="B9" s="38">
        <v>5</v>
      </c>
      <c r="C9" s="85" t="s">
        <v>163</v>
      </c>
      <c r="D9" s="85"/>
      <c r="E9" s="85"/>
      <c r="F9" s="37">
        <v>150</v>
      </c>
      <c r="G9" s="85" t="s">
        <v>172</v>
      </c>
      <c r="H9" s="85"/>
      <c r="I9" s="85"/>
      <c r="J9" s="85"/>
    </row>
    <row r="10" spans="1:10" x14ac:dyDescent="0.25">
      <c r="A10" s="69"/>
      <c r="B10" s="39">
        <v>0.15</v>
      </c>
      <c r="C10" s="85" t="s">
        <v>167</v>
      </c>
      <c r="D10" s="85"/>
      <c r="E10" s="85"/>
      <c r="F10" s="78">
        <v>0.5</v>
      </c>
      <c r="G10" s="85" t="s">
        <v>173</v>
      </c>
      <c r="H10" s="85"/>
      <c r="I10" s="85"/>
      <c r="J10" s="85"/>
    </row>
    <row r="11" spans="1:10" x14ac:dyDescent="0.25">
      <c r="A11" s="69"/>
      <c r="B11" s="45">
        <v>5</v>
      </c>
      <c r="C11" s="85" t="s">
        <v>164</v>
      </c>
      <c r="D11" s="85"/>
      <c r="E11" s="85"/>
      <c r="F11" s="37">
        <v>100</v>
      </c>
      <c r="G11" s="85" t="s">
        <v>174</v>
      </c>
      <c r="H11" s="85"/>
      <c r="I11" s="85"/>
      <c r="J11" s="85"/>
    </row>
    <row r="12" spans="1:10" x14ac:dyDescent="0.25">
      <c r="A12" s="69"/>
      <c r="B12" s="39">
        <v>0.1</v>
      </c>
      <c r="C12" s="85" t="s">
        <v>168</v>
      </c>
      <c r="D12" s="85"/>
      <c r="E12" s="85"/>
      <c r="F12" s="77">
        <v>1</v>
      </c>
      <c r="G12" s="85" t="s">
        <v>101</v>
      </c>
      <c r="H12" s="85"/>
      <c r="I12" s="85"/>
      <c r="J12" s="85"/>
    </row>
    <row r="13" spans="1:10" x14ac:dyDescent="0.25">
      <c r="A13" s="69"/>
      <c r="B13" s="37">
        <v>1.5</v>
      </c>
      <c r="C13" s="85" t="s">
        <v>169</v>
      </c>
      <c r="D13" s="85"/>
      <c r="E13" s="85"/>
      <c r="F13" s="77">
        <v>2</v>
      </c>
      <c r="G13" s="85" t="s">
        <v>102</v>
      </c>
      <c r="H13" s="85"/>
      <c r="I13" s="85"/>
      <c r="J13" s="85"/>
    </row>
    <row r="14" spans="1:10" x14ac:dyDescent="0.25">
      <c r="A14" s="69"/>
      <c r="B14" s="42">
        <v>1</v>
      </c>
      <c r="C14" s="85" t="s">
        <v>100</v>
      </c>
      <c r="D14" s="85"/>
      <c r="E14" s="85"/>
      <c r="F14" s="79">
        <v>100</v>
      </c>
      <c r="G14" s="85" t="s">
        <v>105</v>
      </c>
      <c r="H14" s="85"/>
      <c r="I14" s="85"/>
      <c r="J14" s="85"/>
    </row>
    <row r="15" spans="1:10" x14ac:dyDescent="0.25">
      <c r="A15" s="69"/>
      <c r="B15" s="42">
        <v>3</v>
      </c>
      <c r="C15" s="85" t="s">
        <v>150</v>
      </c>
      <c r="D15" s="85"/>
      <c r="E15" s="85"/>
      <c r="F15" s="37">
        <v>0.5</v>
      </c>
      <c r="G15" s="85" t="s">
        <v>175</v>
      </c>
      <c r="H15" s="85"/>
      <c r="I15" s="85"/>
      <c r="J15" s="85"/>
    </row>
    <row r="16" spans="1:10" x14ac:dyDescent="0.25">
      <c r="A16" s="69"/>
      <c r="B16" s="80">
        <v>250</v>
      </c>
      <c r="C16" s="85" t="s">
        <v>99</v>
      </c>
      <c r="D16" s="85"/>
      <c r="E16" s="85"/>
      <c r="F16" s="37">
        <v>60</v>
      </c>
      <c r="G16" s="85" t="s">
        <v>176</v>
      </c>
      <c r="H16" s="85"/>
      <c r="I16" s="85"/>
      <c r="J16" s="85"/>
    </row>
    <row r="17" spans="1:10" x14ac:dyDescent="0.25">
      <c r="A17" s="69"/>
      <c r="B17" s="80">
        <v>125</v>
      </c>
      <c r="C17" s="85" t="s">
        <v>165</v>
      </c>
      <c r="D17" s="85"/>
      <c r="E17" s="85"/>
      <c r="F17" s="80">
        <v>2</v>
      </c>
      <c r="G17" s="85" t="s">
        <v>177</v>
      </c>
      <c r="H17" s="85"/>
      <c r="I17" s="85"/>
      <c r="J17" s="85"/>
    </row>
    <row r="18" spans="1:10" x14ac:dyDescent="0.25">
      <c r="A18" s="69"/>
      <c r="B18" s="40">
        <v>0.5</v>
      </c>
      <c r="C18" s="85" t="s">
        <v>170</v>
      </c>
      <c r="D18" s="85"/>
      <c r="E18" s="85"/>
      <c r="F18" s="37">
        <v>70</v>
      </c>
      <c r="G18" s="85" t="s">
        <v>178</v>
      </c>
      <c r="H18" s="85"/>
      <c r="I18" s="85"/>
      <c r="J18" s="85"/>
    </row>
    <row r="19" spans="1:10" x14ac:dyDescent="0.25">
      <c r="A19" s="69"/>
      <c r="B19" s="46">
        <v>0</v>
      </c>
      <c r="C19" s="85" t="s">
        <v>103</v>
      </c>
      <c r="D19" s="85"/>
      <c r="E19" s="85"/>
      <c r="F19" s="80">
        <v>1</v>
      </c>
      <c r="G19" s="85" t="s">
        <v>179</v>
      </c>
      <c r="H19" s="85"/>
      <c r="I19" s="85"/>
      <c r="J19" s="85"/>
    </row>
    <row r="20" spans="1:10" x14ac:dyDescent="0.25">
      <c r="A20" s="69"/>
      <c r="B20" s="39">
        <v>0.06</v>
      </c>
      <c r="C20" s="85" t="s">
        <v>104</v>
      </c>
      <c r="D20" s="85"/>
      <c r="E20" s="85"/>
      <c r="F20" s="41">
        <v>100</v>
      </c>
      <c r="G20" s="85" t="s">
        <v>180</v>
      </c>
      <c r="H20" s="85"/>
      <c r="I20" s="85"/>
      <c r="J20" s="85"/>
    </row>
    <row r="21" spans="1:10" x14ac:dyDescent="0.25">
      <c r="E21" s="5"/>
      <c r="F21" s="6"/>
      <c r="G21" s="5"/>
      <c r="H21" s="5" t="s">
        <v>17</v>
      </c>
      <c r="I21" s="5" t="s">
        <v>19</v>
      </c>
      <c r="J21" s="7" t="s">
        <v>20</v>
      </c>
    </row>
    <row r="22" spans="1:10" x14ac:dyDescent="0.25">
      <c r="A22" s="4"/>
      <c r="B22" s="4"/>
      <c r="C22" s="4"/>
      <c r="D22" s="4"/>
      <c r="E22" s="8" t="s">
        <v>14</v>
      </c>
      <c r="F22" s="9" t="s">
        <v>15</v>
      </c>
      <c r="G22" s="8" t="s">
        <v>16</v>
      </c>
      <c r="H22" s="8" t="s">
        <v>18</v>
      </c>
      <c r="I22" s="8" t="s">
        <v>20</v>
      </c>
      <c r="J22" s="10" t="s">
        <v>142</v>
      </c>
    </row>
    <row r="23" spans="1:10" x14ac:dyDescent="0.25">
      <c r="A23" s="3" t="s">
        <v>13</v>
      </c>
      <c r="E23" s="5"/>
      <c r="F23" s="6"/>
      <c r="G23" s="5"/>
      <c r="H23" s="6"/>
      <c r="I23" s="6"/>
      <c r="J23" s="6"/>
    </row>
    <row r="24" spans="1:10" x14ac:dyDescent="0.25">
      <c r="B24" s="3" t="s">
        <v>181</v>
      </c>
      <c r="E24" s="43">
        <f>(TRUNC(B8*B13,0)-B11)-(TRUNC(B8*B13,0)-B11)*B12</f>
        <v>28.8</v>
      </c>
      <c r="F24" s="6" t="s">
        <v>95</v>
      </c>
      <c r="G24" s="11">
        <f>E24*F18</f>
        <v>2016</v>
      </c>
      <c r="H24" s="36">
        <f>F17</f>
        <v>2</v>
      </c>
      <c r="I24" s="13">
        <f>H24*G24</f>
        <v>4032</v>
      </c>
      <c r="J24" s="13">
        <f>+I24/$B$8</f>
        <v>161.28</v>
      </c>
    </row>
    <row r="25" spans="1:10" x14ac:dyDescent="0.25">
      <c r="B25" s="3" t="s">
        <v>182</v>
      </c>
      <c r="E25" s="5">
        <f>TRUNC(B8*B10,0)</f>
        <v>3</v>
      </c>
      <c r="F25" s="6" t="s">
        <v>95</v>
      </c>
      <c r="G25" s="11">
        <f>E25*F20</f>
        <v>300</v>
      </c>
      <c r="H25" s="36">
        <f>F19</f>
        <v>1</v>
      </c>
      <c r="I25" s="13">
        <f>H25*G25</f>
        <v>300</v>
      </c>
      <c r="J25" s="13">
        <f>+I25/$B$8</f>
        <v>12</v>
      </c>
    </row>
    <row r="26" spans="1:10" ht="15.75" thickBot="1" x14ac:dyDescent="0.3">
      <c r="E26" s="5"/>
      <c r="F26" s="6"/>
      <c r="G26" s="11"/>
      <c r="H26" s="14"/>
      <c r="I26" s="13"/>
      <c r="J26" s="13"/>
    </row>
    <row r="27" spans="1:10" ht="15.75" thickTop="1" x14ac:dyDescent="0.25">
      <c r="A27" s="15" t="s">
        <v>60</v>
      </c>
      <c r="B27" s="15"/>
      <c r="C27" s="15"/>
      <c r="D27" s="15"/>
      <c r="E27" s="16"/>
      <c r="F27" s="17"/>
      <c r="G27" s="18"/>
      <c r="H27" s="19"/>
      <c r="I27" s="20">
        <f>SUM(I24:I25)</f>
        <v>4332</v>
      </c>
      <c r="J27" s="20">
        <f>+I27/$B$8</f>
        <v>173.28</v>
      </c>
    </row>
    <row r="28" spans="1:10" x14ac:dyDescent="0.25">
      <c r="E28" s="5"/>
      <c r="F28" s="6"/>
      <c r="G28" s="11"/>
      <c r="H28" s="14"/>
      <c r="I28" s="13"/>
      <c r="J28" s="13"/>
    </row>
    <row r="29" spans="1:10" x14ac:dyDescent="0.25">
      <c r="A29" s="3" t="s">
        <v>148</v>
      </c>
      <c r="E29" s="5"/>
      <c r="F29" s="6"/>
      <c r="G29" s="11"/>
      <c r="H29" s="14"/>
      <c r="I29" s="13"/>
      <c r="J29" s="13"/>
    </row>
    <row r="30" spans="1:10" x14ac:dyDescent="0.25">
      <c r="B30" s="3" t="s">
        <v>57</v>
      </c>
      <c r="E30" s="5"/>
      <c r="F30" s="6" t="s">
        <v>7</v>
      </c>
      <c r="G30" s="11">
        <f>ROUNDUP((B8/B9),0)</f>
        <v>5</v>
      </c>
      <c r="H30" s="70">
        <v>144.83000000000001</v>
      </c>
      <c r="I30" s="13">
        <f>H30*G30</f>
        <v>724.15000000000009</v>
      </c>
      <c r="J30" s="13">
        <f>I30/B$8</f>
        <v>28.966000000000005</v>
      </c>
    </row>
    <row r="31" spans="1:10" x14ac:dyDescent="0.25">
      <c r="B31" s="3" t="s">
        <v>184</v>
      </c>
      <c r="E31" s="5"/>
      <c r="F31" s="6" t="s">
        <v>95</v>
      </c>
      <c r="G31" s="11">
        <f>B8*F10*F11</f>
        <v>1250</v>
      </c>
      <c r="H31" s="71">
        <v>0.3</v>
      </c>
      <c r="I31" s="13">
        <f t="shared" ref="I31:I43" si="0">H31*G31</f>
        <v>375</v>
      </c>
      <c r="J31" s="13">
        <f t="shared" ref="J31:J51" si="1">I31/B$8</f>
        <v>15</v>
      </c>
    </row>
    <row r="32" spans="1:10" x14ac:dyDescent="0.25">
      <c r="B32" s="3" t="s">
        <v>183</v>
      </c>
      <c r="E32" s="5"/>
      <c r="F32" s="6" t="s">
        <v>95</v>
      </c>
      <c r="G32" s="11">
        <f>E24*(F16*F15)</f>
        <v>864</v>
      </c>
      <c r="H32" s="71">
        <v>0.3</v>
      </c>
      <c r="I32" s="13">
        <f t="shared" ref="I32" si="2">H32*G32</f>
        <v>259.2</v>
      </c>
      <c r="J32" s="13">
        <f>I32/B$8</f>
        <v>10.368</v>
      </c>
    </row>
    <row r="33" spans="2:10" x14ac:dyDescent="0.25">
      <c r="B33" s="3" t="s">
        <v>22</v>
      </c>
      <c r="E33" s="5"/>
      <c r="F33" s="6" t="s">
        <v>96</v>
      </c>
      <c r="G33" s="11">
        <f>(F8*B8*F9)/1200</f>
        <v>6.25</v>
      </c>
      <c r="H33" s="71">
        <v>50</v>
      </c>
      <c r="I33" s="13">
        <f t="shared" si="0"/>
        <v>312.5</v>
      </c>
      <c r="J33" s="13">
        <f t="shared" si="1"/>
        <v>12.5</v>
      </c>
    </row>
    <row r="34" spans="2:10" x14ac:dyDescent="0.25">
      <c r="B34" s="3" t="s">
        <v>26</v>
      </c>
      <c r="E34" s="5"/>
      <c r="F34" s="6" t="s">
        <v>95</v>
      </c>
      <c r="G34" s="11">
        <f>2*B8</f>
        <v>50</v>
      </c>
      <c r="H34" s="72">
        <v>0.56000000000000005</v>
      </c>
      <c r="I34" s="13">
        <f>H34*G34</f>
        <v>28.000000000000004</v>
      </c>
      <c r="J34" s="13">
        <f t="shared" si="1"/>
        <v>1.1200000000000001</v>
      </c>
    </row>
    <row r="35" spans="2:10" x14ac:dyDescent="0.25">
      <c r="B35" s="3" t="s">
        <v>27</v>
      </c>
      <c r="E35" s="5"/>
      <c r="F35" s="6" t="s">
        <v>21</v>
      </c>
      <c r="G35" s="11">
        <f>B8+B14</f>
        <v>26</v>
      </c>
      <c r="H35" s="71">
        <v>6</v>
      </c>
      <c r="I35" s="13">
        <f t="shared" si="0"/>
        <v>156</v>
      </c>
      <c r="J35" s="13">
        <f t="shared" si="1"/>
        <v>6.24</v>
      </c>
    </row>
    <row r="36" spans="2:10" x14ac:dyDescent="0.25">
      <c r="B36" s="47" t="s">
        <v>90</v>
      </c>
      <c r="E36" s="5"/>
      <c r="F36" s="6"/>
      <c r="G36" s="11"/>
      <c r="H36" s="14"/>
      <c r="I36" s="13"/>
      <c r="J36" s="13"/>
    </row>
    <row r="37" spans="2:10" x14ac:dyDescent="0.25">
      <c r="B37" s="21" t="s">
        <v>91</v>
      </c>
      <c r="E37" s="5"/>
      <c r="F37" s="6" t="s">
        <v>93</v>
      </c>
      <c r="G37" s="11">
        <f>2*(B8+B14)</f>
        <v>52</v>
      </c>
      <c r="H37" s="71">
        <v>1</v>
      </c>
      <c r="I37" s="13">
        <f t="shared" si="0"/>
        <v>52</v>
      </c>
      <c r="J37" s="13">
        <f t="shared" si="1"/>
        <v>2.08</v>
      </c>
    </row>
    <row r="38" spans="2:10" x14ac:dyDescent="0.25">
      <c r="B38" s="21" t="s">
        <v>186</v>
      </c>
      <c r="E38" s="5"/>
      <c r="F38" s="6" t="s">
        <v>93</v>
      </c>
      <c r="G38" s="11">
        <f>3*ROUND((B8*B13),0)</f>
        <v>114</v>
      </c>
      <c r="H38" s="71">
        <v>0.25</v>
      </c>
      <c r="I38" s="13">
        <f t="shared" si="0"/>
        <v>28.5</v>
      </c>
      <c r="J38" s="13">
        <f t="shared" si="1"/>
        <v>1.1399999999999999</v>
      </c>
    </row>
    <row r="39" spans="2:10" x14ac:dyDescent="0.25">
      <c r="B39" s="47" t="s">
        <v>92</v>
      </c>
      <c r="E39" s="5"/>
      <c r="F39" s="6"/>
      <c r="G39" s="11"/>
      <c r="H39" s="14"/>
      <c r="I39" s="13"/>
      <c r="J39" s="13"/>
    </row>
    <row r="40" spans="2:10" x14ac:dyDescent="0.25">
      <c r="B40" s="21" t="s">
        <v>91</v>
      </c>
      <c r="E40" s="5"/>
      <c r="F40" s="6" t="s">
        <v>93</v>
      </c>
      <c r="G40" s="11">
        <f>2*(B8+B14)</f>
        <v>52</v>
      </c>
      <c r="H40" s="71">
        <v>0.55000000000000004</v>
      </c>
      <c r="I40" s="13">
        <f t="shared" si="0"/>
        <v>28.6</v>
      </c>
      <c r="J40" s="13">
        <f t="shared" si="1"/>
        <v>1.1440000000000001</v>
      </c>
    </row>
    <row r="41" spans="2:10" x14ac:dyDescent="0.25">
      <c r="B41" s="21" t="s">
        <v>186</v>
      </c>
      <c r="E41" s="5"/>
      <c r="F41" s="6" t="s">
        <v>93</v>
      </c>
      <c r="G41" s="11">
        <f>2*ROUND((B8*B13),0)</f>
        <v>76</v>
      </c>
      <c r="H41" s="71">
        <v>0.6</v>
      </c>
      <c r="I41" s="13">
        <f t="shared" si="0"/>
        <v>45.6</v>
      </c>
      <c r="J41" s="13">
        <f t="shared" si="1"/>
        <v>1.8240000000000001</v>
      </c>
    </row>
    <row r="42" spans="2:10" x14ac:dyDescent="0.25">
      <c r="B42" s="3" t="s">
        <v>23</v>
      </c>
      <c r="E42" s="5"/>
      <c r="F42" s="6" t="s">
        <v>8</v>
      </c>
      <c r="G42" s="11">
        <f>B18*B8</f>
        <v>12.5</v>
      </c>
      <c r="H42" s="71">
        <v>10</v>
      </c>
      <c r="I42" s="13">
        <f t="shared" si="0"/>
        <v>125</v>
      </c>
      <c r="J42" s="13">
        <f t="shared" si="1"/>
        <v>5</v>
      </c>
    </row>
    <row r="43" spans="2:10" x14ac:dyDescent="0.25">
      <c r="B43" s="3" t="s">
        <v>59</v>
      </c>
      <c r="E43" s="5"/>
      <c r="F43" s="6" t="s">
        <v>21</v>
      </c>
      <c r="G43" s="11">
        <f>B8</f>
        <v>25</v>
      </c>
      <c r="H43" s="70">
        <v>1.5</v>
      </c>
      <c r="I43" s="13">
        <f t="shared" si="0"/>
        <v>37.5</v>
      </c>
      <c r="J43" s="13">
        <f t="shared" si="1"/>
        <v>1.5</v>
      </c>
    </row>
    <row r="44" spans="2:10" x14ac:dyDescent="0.25">
      <c r="B44" s="3" t="s">
        <v>56</v>
      </c>
      <c r="E44" s="5"/>
      <c r="F44" s="6" t="s">
        <v>21</v>
      </c>
      <c r="G44" s="44">
        <f>E24+E25</f>
        <v>31.8</v>
      </c>
      <c r="H44" s="72">
        <v>4</v>
      </c>
      <c r="I44" s="13">
        <f>H44*G44</f>
        <v>127.2</v>
      </c>
      <c r="J44" s="13">
        <f>I44/B$8</f>
        <v>5.0880000000000001</v>
      </c>
    </row>
    <row r="45" spans="2:10" x14ac:dyDescent="0.25">
      <c r="B45" s="3" t="s">
        <v>145</v>
      </c>
      <c r="F45" s="6" t="s">
        <v>146</v>
      </c>
      <c r="G45" s="5">
        <v>0</v>
      </c>
      <c r="H45" s="74">
        <v>30</v>
      </c>
      <c r="I45" s="73">
        <f>H45*G45</f>
        <v>0</v>
      </c>
      <c r="J45" s="13">
        <f>I45/B$8</f>
        <v>0</v>
      </c>
    </row>
    <row r="46" spans="2:10" x14ac:dyDescent="0.25">
      <c r="B46" s="3" t="s">
        <v>58</v>
      </c>
      <c r="E46" s="5"/>
      <c r="F46" s="6" t="s">
        <v>21</v>
      </c>
      <c r="G46" s="11">
        <f>B14</f>
        <v>1</v>
      </c>
      <c r="H46" s="48">
        <f>(B14*F12*F14*H31)+((B14*F13*F9*H33)/1200)</f>
        <v>42.5</v>
      </c>
      <c r="I46" s="13">
        <f>H46*G46</f>
        <v>42.5</v>
      </c>
      <c r="J46" s="13">
        <f t="shared" si="1"/>
        <v>1.7</v>
      </c>
    </row>
    <row r="47" spans="2:10" x14ac:dyDescent="0.25">
      <c r="B47" s="3" t="s">
        <v>24</v>
      </c>
      <c r="E47" s="5"/>
      <c r="F47" s="6" t="s">
        <v>48</v>
      </c>
      <c r="G47" s="11"/>
      <c r="H47" s="14"/>
      <c r="I47" s="13">
        <f>M85</f>
        <v>70.107619047619053</v>
      </c>
      <c r="J47" s="13">
        <f t="shared" si="1"/>
        <v>2.8043047619047621</v>
      </c>
    </row>
    <row r="48" spans="2:10" x14ac:dyDescent="0.25">
      <c r="B48" s="3" t="s">
        <v>25</v>
      </c>
      <c r="E48" s="5"/>
      <c r="F48" s="6" t="s">
        <v>48</v>
      </c>
      <c r="G48" s="11"/>
      <c r="H48" s="14"/>
      <c r="I48" s="13">
        <f>M81+(15*12)</f>
        <v>215.71428571428572</v>
      </c>
      <c r="J48" s="13">
        <f t="shared" si="1"/>
        <v>8.6285714285714281</v>
      </c>
    </row>
    <row r="49" spans="1:10" x14ac:dyDescent="0.25">
      <c r="B49" s="3" t="s">
        <v>94</v>
      </c>
      <c r="E49" s="5"/>
      <c r="F49" s="6" t="s">
        <v>21</v>
      </c>
      <c r="G49" s="11">
        <f>B14/B15</f>
        <v>0.33333333333333331</v>
      </c>
      <c r="H49" s="36">
        <f>B16</f>
        <v>250</v>
      </c>
      <c r="I49" s="13">
        <f>H49*G49</f>
        <v>83.333333333333329</v>
      </c>
      <c r="J49" s="13">
        <f t="shared" si="1"/>
        <v>3.333333333333333</v>
      </c>
    </row>
    <row r="50" spans="1:10" x14ac:dyDescent="0.25">
      <c r="B50" s="3" t="s">
        <v>187</v>
      </c>
      <c r="E50" s="5"/>
      <c r="F50" s="6" t="s">
        <v>21</v>
      </c>
      <c r="G50" s="11">
        <f>TRUNC(B8*B10,0)+TRUNC(B8*B12,0)-B11</f>
        <v>0</v>
      </c>
      <c r="H50" s="36">
        <f>B17</f>
        <v>125</v>
      </c>
      <c r="I50" s="13">
        <f>H50*G50</f>
        <v>0</v>
      </c>
      <c r="J50" s="13">
        <f>I50/B$8</f>
        <v>0</v>
      </c>
    </row>
    <row r="51" spans="1:10" x14ac:dyDescent="0.25">
      <c r="B51" s="3" t="s">
        <v>144</v>
      </c>
      <c r="E51" s="5"/>
      <c r="F51" s="6" t="s">
        <v>49</v>
      </c>
      <c r="G51" s="22">
        <f>B20</f>
        <v>0.06</v>
      </c>
      <c r="H51" s="48">
        <f>B19</f>
        <v>0</v>
      </c>
      <c r="I51" s="23">
        <f>H51*G51</f>
        <v>0</v>
      </c>
      <c r="J51" s="13">
        <f t="shared" si="1"/>
        <v>0</v>
      </c>
    </row>
    <row r="52" spans="1:10" x14ac:dyDescent="0.25">
      <c r="E52" s="5"/>
      <c r="F52" s="6"/>
      <c r="G52" s="5"/>
      <c r="H52" s="14"/>
      <c r="I52" s="13"/>
      <c r="J52" s="13"/>
    </row>
    <row r="53" spans="1:10" ht="15.75" thickBot="1" x14ac:dyDescent="0.3">
      <c r="A53" s="15" t="s">
        <v>3</v>
      </c>
      <c r="B53" s="15"/>
      <c r="C53" s="15"/>
      <c r="D53" s="15"/>
      <c r="E53" s="16"/>
      <c r="F53" s="17"/>
      <c r="G53" s="16"/>
      <c r="H53" s="19"/>
      <c r="I53" s="24">
        <f>SUM(I30:I51)</f>
        <v>2710.9052380952385</v>
      </c>
      <c r="J53" s="24">
        <f>I53/B$8</f>
        <v>108.43620952380954</v>
      </c>
    </row>
    <row r="54" spans="1:10" ht="15.75" thickTop="1" x14ac:dyDescent="0.25">
      <c r="A54" s="25" t="s">
        <v>50</v>
      </c>
      <c r="B54" s="25"/>
      <c r="C54" s="25"/>
      <c r="D54" s="25"/>
      <c r="E54" s="26"/>
      <c r="F54" s="27"/>
      <c r="G54" s="26"/>
      <c r="H54" s="28"/>
      <c r="I54" s="29">
        <f>I27-I53</f>
        <v>1621.0947619047615</v>
      </c>
      <c r="J54" s="29">
        <f>J27-J53</f>
        <v>64.843790476190463</v>
      </c>
    </row>
    <row r="55" spans="1:10" x14ac:dyDescent="0.25">
      <c r="E55" s="5"/>
      <c r="F55" s="6"/>
      <c r="G55" s="5"/>
      <c r="H55" s="14"/>
      <c r="I55" s="13"/>
      <c r="J55" s="13"/>
    </row>
    <row r="56" spans="1:10" x14ac:dyDescent="0.25">
      <c r="A56" s="3" t="s">
        <v>1</v>
      </c>
      <c r="E56" s="5"/>
      <c r="F56" s="6"/>
      <c r="G56" s="5"/>
      <c r="H56" s="14"/>
      <c r="I56" s="13"/>
      <c r="J56" s="13"/>
    </row>
    <row r="57" spans="1:10" x14ac:dyDescent="0.25">
      <c r="B57" s="3" t="s">
        <v>51</v>
      </c>
      <c r="E57" s="5"/>
      <c r="F57" s="6" t="s">
        <v>21</v>
      </c>
      <c r="G57" s="5">
        <f>B8</f>
        <v>25</v>
      </c>
      <c r="H57" s="36">
        <v>1.25</v>
      </c>
      <c r="I57" s="23">
        <f>H57*G57</f>
        <v>31.25</v>
      </c>
      <c r="J57" s="13">
        <f>I57/B$8</f>
        <v>1.25</v>
      </c>
    </row>
    <row r="58" spans="1:10" x14ac:dyDescent="0.25">
      <c r="B58" s="3" t="s">
        <v>149</v>
      </c>
      <c r="E58" s="5"/>
      <c r="F58" s="75" t="s">
        <v>49</v>
      </c>
      <c r="G58" s="22">
        <f>B20</f>
        <v>0.06</v>
      </c>
      <c r="H58" s="14">
        <f>B8*B17+B14*B16</f>
        <v>3375</v>
      </c>
      <c r="I58" s="23">
        <f>H58*G58</f>
        <v>202.5</v>
      </c>
      <c r="J58" s="13">
        <f>I58/B$8</f>
        <v>8.1</v>
      </c>
    </row>
    <row r="59" spans="1:10" x14ac:dyDescent="0.25">
      <c r="B59" s="3" t="s">
        <v>52</v>
      </c>
      <c r="E59" s="5"/>
      <c r="F59" s="6" t="s">
        <v>49</v>
      </c>
      <c r="G59" s="22">
        <f>G51</f>
        <v>0.06</v>
      </c>
      <c r="H59" s="12">
        <f>G85</f>
        <v>3595</v>
      </c>
      <c r="I59" s="23">
        <f>H59*(G59*(F11/365))</f>
        <v>59.095890410958901</v>
      </c>
      <c r="J59" s="13">
        <f t="shared" ref="J59:J60" si="3">I59/B$8</f>
        <v>2.3638356164383563</v>
      </c>
    </row>
    <row r="60" spans="1:10" x14ac:dyDescent="0.25">
      <c r="B60" s="3" t="s">
        <v>53</v>
      </c>
      <c r="E60" s="5"/>
      <c r="F60" s="6" t="s">
        <v>48</v>
      </c>
      <c r="G60" s="5"/>
      <c r="H60" s="14"/>
      <c r="I60" s="13">
        <f>L85</f>
        <v>193.12619047619046</v>
      </c>
      <c r="J60" s="13">
        <f t="shared" si="3"/>
        <v>7.7250476190476185</v>
      </c>
    </row>
    <row r="61" spans="1:10" x14ac:dyDescent="0.25">
      <c r="B61" s="3" t="s">
        <v>54</v>
      </c>
      <c r="E61" s="5"/>
      <c r="F61" s="6" t="s">
        <v>48</v>
      </c>
      <c r="G61" s="5"/>
      <c r="H61" s="6"/>
      <c r="I61" s="13">
        <f>N85</f>
        <v>62.912499999999994</v>
      </c>
      <c r="J61" s="13">
        <f>I61/B$8</f>
        <v>2.5164999999999997</v>
      </c>
    </row>
    <row r="62" spans="1:10" x14ac:dyDescent="0.25">
      <c r="E62" s="5"/>
      <c r="F62" s="6"/>
      <c r="G62" s="5"/>
      <c r="H62" s="6"/>
      <c r="I62" s="13"/>
      <c r="J62" s="13"/>
    </row>
    <row r="63" spans="1:10" x14ac:dyDescent="0.25">
      <c r="A63" s="15" t="s">
        <v>9</v>
      </c>
      <c r="B63" s="15"/>
      <c r="C63" s="15"/>
      <c r="D63" s="15"/>
      <c r="E63" s="16"/>
      <c r="F63" s="17"/>
      <c r="G63" s="16"/>
      <c r="H63" s="17"/>
      <c r="I63" s="30">
        <f>SUM(I57:I61)</f>
        <v>548.88458088714935</v>
      </c>
      <c r="J63" s="30">
        <f>I63/B$8</f>
        <v>21.955383235485975</v>
      </c>
    </row>
    <row r="64" spans="1:10" x14ac:dyDescent="0.25">
      <c r="A64" s="15" t="s">
        <v>4</v>
      </c>
      <c r="B64" s="15"/>
      <c r="C64" s="15"/>
      <c r="D64" s="15"/>
      <c r="E64" s="16"/>
      <c r="F64" s="17"/>
      <c r="G64" s="16"/>
      <c r="H64" s="17"/>
      <c r="I64" s="30">
        <f>I53+I63</f>
        <v>3259.7898189823877</v>
      </c>
      <c r="J64" s="30">
        <f>I64/B$8</f>
        <v>130.39159275929552</v>
      </c>
    </row>
    <row r="65" spans="1:14" ht="15.75" thickBot="1" x14ac:dyDescent="0.3">
      <c r="E65" s="5"/>
      <c r="F65" s="6"/>
      <c r="G65" s="5"/>
      <c r="H65" s="6"/>
      <c r="I65" s="31"/>
      <c r="J65" s="31"/>
    </row>
    <row r="66" spans="1:14" ht="15.75" thickTop="1" x14ac:dyDescent="0.25">
      <c r="A66" s="32" t="s">
        <v>55</v>
      </c>
      <c r="B66" s="32"/>
      <c r="C66" s="32"/>
      <c r="D66" s="32"/>
      <c r="E66" s="33"/>
      <c r="F66" s="33"/>
      <c r="G66" s="33"/>
      <c r="H66" s="34"/>
      <c r="I66" s="35">
        <f>I27-I64</f>
        <v>1072.2101810176123</v>
      </c>
      <c r="J66" s="35">
        <f>I66/B$8</f>
        <v>42.888407240704488</v>
      </c>
    </row>
    <row r="67" spans="1:14" x14ac:dyDescent="0.25">
      <c r="E67" s="5"/>
      <c r="F67" s="5"/>
      <c r="G67" s="5"/>
      <c r="I67" s="7"/>
      <c r="J67" s="7"/>
    </row>
    <row r="68" spans="1:14" x14ac:dyDescent="0.25">
      <c r="E68" s="5"/>
      <c r="F68" s="5"/>
      <c r="G68" s="5"/>
      <c r="I68" s="7"/>
      <c r="J68" s="7"/>
    </row>
    <row r="70" spans="1:14" x14ac:dyDescent="0.25">
      <c r="A70" s="65" t="s">
        <v>141</v>
      </c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7"/>
    </row>
    <row r="71" spans="1:14" x14ac:dyDescent="0.25">
      <c r="A71" s="54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55"/>
    </row>
    <row r="72" spans="1:14" x14ac:dyDescent="0.25">
      <c r="A72" s="54"/>
      <c r="B72" s="7" t="s">
        <v>2</v>
      </c>
      <c r="C72" s="7"/>
      <c r="D72" s="56" t="s">
        <v>28</v>
      </c>
      <c r="E72" s="56"/>
      <c r="F72" s="56" t="s">
        <v>29</v>
      </c>
      <c r="G72" s="56" t="s">
        <v>11</v>
      </c>
      <c r="H72" s="56" t="s">
        <v>30</v>
      </c>
      <c r="I72" s="56" t="s">
        <v>31</v>
      </c>
      <c r="J72" s="7"/>
      <c r="K72" s="56" t="s">
        <v>43</v>
      </c>
      <c r="L72" s="7"/>
      <c r="M72" s="7"/>
      <c r="N72" s="55" t="s">
        <v>61</v>
      </c>
    </row>
    <row r="73" spans="1:14" x14ac:dyDescent="0.25">
      <c r="A73" s="54"/>
      <c r="B73" s="7"/>
      <c r="C73" s="7"/>
      <c r="D73" s="56" t="s">
        <v>10</v>
      </c>
      <c r="E73" s="56" t="s">
        <v>32</v>
      </c>
      <c r="F73" s="56" t="s">
        <v>33</v>
      </c>
      <c r="G73" s="56" t="s">
        <v>33</v>
      </c>
      <c r="H73" s="56" t="s">
        <v>34</v>
      </c>
      <c r="I73" s="56" t="s">
        <v>35</v>
      </c>
      <c r="J73" s="7"/>
      <c r="K73" s="56" t="s">
        <v>44</v>
      </c>
      <c r="L73" s="56" t="s">
        <v>45</v>
      </c>
      <c r="M73" s="56" t="s">
        <v>47</v>
      </c>
      <c r="N73" s="57" t="s">
        <v>46</v>
      </c>
    </row>
    <row r="74" spans="1:14" x14ac:dyDescent="0.25">
      <c r="A74" s="54"/>
      <c r="B74" s="7"/>
      <c r="C74" s="7"/>
      <c r="D74" s="7"/>
      <c r="E74" s="7" t="s">
        <v>36</v>
      </c>
      <c r="F74" s="7"/>
      <c r="G74" s="7" t="s">
        <v>36</v>
      </c>
      <c r="H74" s="7"/>
      <c r="I74" s="7"/>
      <c r="J74" s="7"/>
      <c r="K74" s="7"/>
      <c r="L74" s="7"/>
      <c r="M74" s="7"/>
      <c r="N74" s="55"/>
    </row>
    <row r="75" spans="1:14" x14ac:dyDescent="0.25">
      <c r="A75" s="54"/>
      <c r="B75" s="97" t="s">
        <v>189</v>
      </c>
      <c r="C75" s="98"/>
      <c r="D75" s="98"/>
      <c r="E75" s="98"/>
      <c r="F75" s="98"/>
      <c r="G75" s="7"/>
      <c r="H75" s="7"/>
      <c r="I75" s="7"/>
      <c r="J75" s="7"/>
      <c r="K75" s="7"/>
      <c r="L75" s="7"/>
      <c r="M75" s="7"/>
      <c r="N75" s="55"/>
    </row>
    <row r="76" spans="1:14" x14ac:dyDescent="0.25">
      <c r="A76" s="54"/>
      <c r="B76" s="93" t="s">
        <v>37</v>
      </c>
      <c r="C76" s="93"/>
      <c r="D76" s="94">
        <v>2300</v>
      </c>
      <c r="E76" s="93">
        <v>1</v>
      </c>
      <c r="F76" s="95">
        <v>0.67</v>
      </c>
      <c r="G76" s="59">
        <f>D76*E76*F76</f>
        <v>1541</v>
      </c>
      <c r="H76" s="96">
        <v>0</v>
      </c>
      <c r="I76" s="93">
        <v>15</v>
      </c>
      <c r="J76" s="7"/>
      <c r="K76" s="58">
        <f>(G76*H76)</f>
        <v>0</v>
      </c>
      <c r="L76" s="58">
        <f t="shared" ref="L76:L81" si="4">(AVERAGE(G76,K76)/I76)</f>
        <v>51.366666666666667</v>
      </c>
      <c r="M76" s="60">
        <f t="shared" ref="M76:M81" si="5">(0.2*G76)/I76</f>
        <v>20.54666666666667</v>
      </c>
      <c r="N76" s="61">
        <f t="shared" ref="N76:N81" si="6">0.0175*G76</f>
        <v>26.967500000000001</v>
      </c>
    </row>
    <row r="77" spans="1:14" x14ac:dyDescent="0.25">
      <c r="A77" s="54"/>
      <c r="B77" s="93" t="s">
        <v>38</v>
      </c>
      <c r="C77" s="93"/>
      <c r="D77" s="94">
        <v>500</v>
      </c>
      <c r="E77" s="93">
        <v>1</v>
      </c>
      <c r="F77" s="95">
        <v>0.67</v>
      </c>
      <c r="G77" s="59">
        <f t="shared" ref="G77:G80" si="7">D77*E77*F77</f>
        <v>335</v>
      </c>
      <c r="H77" s="96">
        <v>0</v>
      </c>
      <c r="I77" s="93">
        <v>15</v>
      </c>
      <c r="J77" s="7"/>
      <c r="K77" s="58">
        <f t="shared" ref="K77:K80" si="8">(G77*H77)</f>
        <v>0</v>
      </c>
      <c r="L77" s="58">
        <f t="shared" si="4"/>
        <v>11.166666666666666</v>
      </c>
      <c r="M77" s="60">
        <f t="shared" si="5"/>
        <v>4.4666666666666668</v>
      </c>
      <c r="N77" s="61">
        <f t="shared" si="6"/>
        <v>5.8625000000000007</v>
      </c>
    </row>
    <row r="78" spans="1:14" x14ac:dyDescent="0.25">
      <c r="A78" s="54"/>
      <c r="B78" s="93" t="s">
        <v>39</v>
      </c>
      <c r="C78" s="93"/>
      <c r="D78" s="94">
        <v>250</v>
      </c>
      <c r="E78" s="93">
        <v>1</v>
      </c>
      <c r="F78" s="95">
        <v>0.67</v>
      </c>
      <c r="G78" s="59">
        <f t="shared" si="7"/>
        <v>167.5</v>
      </c>
      <c r="H78" s="96">
        <v>0</v>
      </c>
      <c r="I78" s="93">
        <v>10</v>
      </c>
      <c r="J78" s="7"/>
      <c r="K78" s="58">
        <f t="shared" si="8"/>
        <v>0</v>
      </c>
      <c r="L78" s="58">
        <f t="shared" si="4"/>
        <v>8.375</v>
      </c>
      <c r="M78" s="60">
        <f t="shared" si="5"/>
        <v>3.35</v>
      </c>
      <c r="N78" s="61">
        <f t="shared" si="6"/>
        <v>2.9312500000000004</v>
      </c>
    </row>
    <row r="79" spans="1:14" x14ac:dyDescent="0.25">
      <c r="A79" s="54"/>
      <c r="B79" s="93" t="s">
        <v>40</v>
      </c>
      <c r="C79" s="93"/>
      <c r="D79" s="94">
        <v>250</v>
      </c>
      <c r="E79" s="93">
        <v>1</v>
      </c>
      <c r="F79" s="95">
        <v>0.67</v>
      </c>
      <c r="G79" s="59">
        <f t="shared" si="7"/>
        <v>167.5</v>
      </c>
      <c r="H79" s="96">
        <v>0</v>
      </c>
      <c r="I79" s="93">
        <v>10</v>
      </c>
      <c r="J79" s="7"/>
      <c r="K79" s="58">
        <f t="shared" si="8"/>
        <v>0</v>
      </c>
      <c r="L79" s="58">
        <f t="shared" si="4"/>
        <v>8.375</v>
      </c>
      <c r="M79" s="60">
        <f t="shared" si="5"/>
        <v>3.35</v>
      </c>
      <c r="N79" s="61">
        <f t="shared" si="6"/>
        <v>2.9312500000000004</v>
      </c>
    </row>
    <row r="80" spans="1:14" x14ac:dyDescent="0.25">
      <c r="A80" s="54"/>
      <c r="B80" s="93" t="s">
        <v>41</v>
      </c>
      <c r="C80" s="93"/>
      <c r="D80" s="94">
        <v>200</v>
      </c>
      <c r="E80" s="93">
        <v>1</v>
      </c>
      <c r="F80" s="95">
        <v>0.67</v>
      </c>
      <c r="G80" s="59">
        <f t="shared" si="7"/>
        <v>134</v>
      </c>
      <c r="H80" s="96">
        <v>0</v>
      </c>
      <c r="I80" s="93">
        <v>10</v>
      </c>
      <c r="J80" s="7"/>
      <c r="K80" s="58">
        <f t="shared" si="8"/>
        <v>0</v>
      </c>
      <c r="L80" s="58">
        <f t="shared" si="4"/>
        <v>6.7</v>
      </c>
      <c r="M80" s="60">
        <f t="shared" si="5"/>
        <v>2.68</v>
      </c>
      <c r="N80" s="61">
        <f t="shared" si="6"/>
        <v>2.3450000000000002</v>
      </c>
    </row>
    <row r="81" spans="1:14" x14ac:dyDescent="0.25">
      <c r="A81" s="54"/>
      <c r="B81" s="93" t="s">
        <v>42</v>
      </c>
      <c r="C81" s="93"/>
      <c r="D81" s="94">
        <v>25000</v>
      </c>
      <c r="E81" s="93">
        <v>1</v>
      </c>
      <c r="F81" s="95">
        <v>0.05</v>
      </c>
      <c r="G81" s="59">
        <f>D81*E81*F81</f>
        <v>1250</v>
      </c>
      <c r="H81" s="96">
        <v>0.2</v>
      </c>
      <c r="I81" s="93">
        <v>7</v>
      </c>
      <c r="J81" s="7"/>
      <c r="K81" s="58">
        <f>(G81*H81)</f>
        <v>250</v>
      </c>
      <c r="L81" s="58">
        <f t="shared" si="4"/>
        <v>107.14285714285714</v>
      </c>
      <c r="M81" s="60">
        <f t="shared" si="5"/>
        <v>35.714285714285715</v>
      </c>
      <c r="N81" s="61">
        <f t="shared" si="6"/>
        <v>21.875000000000004</v>
      </c>
    </row>
    <row r="82" spans="1:14" x14ac:dyDescent="0.25">
      <c r="A82" s="54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55"/>
    </row>
    <row r="83" spans="1:14" x14ac:dyDescent="0.25">
      <c r="A83" s="54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55"/>
    </row>
    <row r="84" spans="1:14" x14ac:dyDescent="0.25">
      <c r="A84" s="54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55"/>
    </row>
    <row r="85" spans="1:14" x14ac:dyDescent="0.25">
      <c r="A85" s="62"/>
      <c r="B85" s="4" t="s">
        <v>11</v>
      </c>
      <c r="C85" s="4"/>
      <c r="D85" s="4"/>
      <c r="E85" s="4"/>
      <c r="F85" s="4"/>
      <c r="G85" s="68">
        <f>SUM(G76:G81)</f>
        <v>3595</v>
      </c>
      <c r="H85" s="4"/>
      <c r="I85" s="4"/>
      <c r="J85" s="4"/>
      <c r="K85" s="63">
        <f>SUM(K76:K81)</f>
        <v>250</v>
      </c>
      <c r="L85" s="63">
        <f>SUM(L76:L81)</f>
        <v>193.12619047619046</v>
      </c>
      <c r="M85" s="63">
        <f>SUM(M76:M81)</f>
        <v>70.107619047619053</v>
      </c>
      <c r="N85" s="64">
        <f>SUM(N76:N81)</f>
        <v>62.912499999999994</v>
      </c>
    </row>
    <row r="87" spans="1:14" x14ac:dyDescent="0.25">
      <c r="B87" s="91" t="s">
        <v>147</v>
      </c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</row>
    <row r="88" spans="1:14" x14ac:dyDescent="0.25"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</row>
    <row r="90" spans="1:14" ht="15.75" x14ac:dyDescent="0.25">
      <c r="B90" s="84" t="s">
        <v>160</v>
      </c>
    </row>
  </sheetData>
  <sheetProtection selectLockedCells="1"/>
  <mergeCells count="33">
    <mergeCell ref="B75:F75"/>
    <mergeCell ref="B87:N88"/>
    <mergeCell ref="C20:E20"/>
    <mergeCell ref="G8:J8"/>
    <mergeCell ref="G9:J9"/>
    <mergeCell ref="G10:J10"/>
    <mergeCell ref="C11:E11"/>
    <mergeCell ref="C9:E9"/>
    <mergeCell ref="C10:E10"/>
    <mergeCell ref="C12:E12"/>
    <mergeCell ref="C18:E18"/>
    <mergeCell ref="C14:E14"/>
    <mergeCell ref="C15:E15"/>
    <mergeCell ref="C16:E16"/>
    <mergeCell ref="C17:E17"/>
    <mergeCell ref="C19:E19"/>
    <mergeCell ref="G19:J19"/>
    <mergeCell ref="A1:J1"/>
    <mergeCell ref="A2:J2"/>
    <mergeCell ref="A3:J3"/>
    <mergeCell ref="C8:E8"/>
    <mergeCell ref="C13:E13"/>
    <mergeCell ref="G11:J11"/>
    <mergeCell ref="G12:J12"/>
    <mergeCell ref="G13:J13"/>
    <mergeCell ref="A5:J5"/>
    <mergeCell ref="A4:J4"/>
    <mergeCell ref="G20:J20"/>
    <mergeCell ref="G14:J14"/>
    <mergeCell ref="G15:J15"/>
    <mergeCell ref="G16:J16"/>
    <mergeCell ref="G17:J17"/>
    <mergeCell ref="G18:J18"/>
  </mergeCells>
  <printOptions horizontalCentered="1" verticalCentered="1"/>
  <pageMargins left="0.25" right="0.25" top="0.25" bottom="0.25" header="0.3" footer="0.3"/>
  <pageSetup scale="72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set">
                <anchor moveWithCells="1" sizeWithCells="1">
                  <from>
                    <xdr:col>6</xdr:col>
                    <xdr:colOff>228600</xdr:colOff>
                    <xdr:row>5</xdr:row>
                    <xdr:rowOff>66675</xdr:rowOff>
                  </from>
                  <to>
                    <xdr:col>8</xdr:col>
                    <xdr:colOff>571500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prnt">
                <anchor moveWithCells="1" sizeWithCells="1">
                  <from>
                    <xdr:col>4</xdr:col>
                    <xdr:colOff>971550</xdr:colOff>
                    <xdr:row>5</xdr:row>
                    <xdr:rowOff>76200</xdr:rowOff>
                  </from>
                  <to>
                    <xdr:col>6</xdr:col>
                    <xdr:colOff>9525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41"/>
  <sheetViews>
    <sheetView topLeftCell="A22" workbookViewId="0">
      <selection activeCell="D39" sqref="D39"/>
    </sheetView>
  </sheetViews>
  <sheetFormatPr defaultColWidth="8.85546875" defaultRowHeight="15" x14ac:dyDescent="0.25"/>
  <cols>
    <col min="1" max="1" width="3.28515625" customWidth="1"/>
    <col min="2" max="2" width="2.85546875" customWidth="1"/>
    <col min="3" max="3" width="25.140625" customWidth="1"/>
    <col min="4" max="7" width="11" customWidth="1"/>
    <col min="10" max="10" width="11.140625" customWidth="1"/>
    <col min="257" max="257" width="3.28515625" customWidth="1"/>
    <col min="258" max="258" width="2.85546875" customWidth="1"/>
    <col min="259" max="259" width="25.140625" customWidth="1"/>
    <col min="260" max="263" width="11" customWidth="1"/>
    <col min="266" max="266" width="11.140625" customWidth="1"/>
    <col min="513" max="513" width="3.28515625" customWidth="1"/>
    <col min="514" max="514" width="2.85546875" customWidth="1"/>
    <col min="515" max="515" width="25.140625" customWidth="1"/>
    <col min="516" max="519" width="11" customWidth="1"/>
    <col min="522" max="522" width="11.140625" customWidth="1"/>
    <col min="769" max="769" width="3.28515625" customWidth="1"/>
    <col min="770" max="770" width="2.85546875" customWidth="1"/>
    <col min="771" max="771" width="25.140625" customWidth="1"/>
    <col min="772" max="775" width="11" customWidth="1"/>
    <col min="778" max="778" width="11.140625" customWidth="1"/>
    <col min="1025" max="1025" width="3.28515625" customWidth="1"/>
    <col min="1026" max="1026" width="2.85546875" customWidth="1"/>
    <col min="1027" max="1027" width="25.140625" customWidth="1"/>
    <col min="1028" max="1031" width="11" customWidth="1"/>
    <col min="1034" max="1034" width="11.140625" customWidth="1"/>
    <col min="1281" max="1281" width="3.28515625" customWidth="1"/>
    <col min="1282" max="1282" width="2.85546875" customWidth="1"/>
    <col min="1283" max="1283" width="25.140625" customWidth="1"/>
    <col min="1284" max="1287" width="11" customWidth="1"/>
    <col min="1290" max="1290" width="11.140625" customWidth="1"/>
    <col min="1537" max="1537" width="3.28515625" customWidth="1"/>
    <col min="1538" max="1538" width="2.85546875" customWidth="1"/>
    <col min="1539" max="1539" width="25.140625" customWidth="1"/>
    <col min="1540" max="1543" width="11" customWidth="1"/>
    <col min="1546" max="1546" width="11.140625" customWidth="1"/>
    <col min="1793" max="1793" width="3.28515625" customWidth="1"/>
    <col min="1794" max="1794" width="2.85546875" customWidth="1"/>
    <col min="1795" max="1795" width="25.140625" customWidth="1"/>
    <col min="1796" max="1799" width="11" customWidth="1"/>
    <col min="1802" max="1802" width="11.140625" customWidth="1"/>
    <col min="2049" max="2049" width="3.28515625" customWidth="1"/>
    <col min="2050" max="2050" width="2.85546875" customWidth="1"/>
    <col min="2051" max="2051" width="25.140625" customWidth="1"/>
    <col min="2052" max="2055" width="11" customWidth="1"/>
    <col min="2058" max="2058" width="11.140625" customWidth="1"/>
    <col min="2305" max="2305" width="3.28515625" customWidth="1"/>
    <col min="2306" max="2306" width="2.85546875" customWidth="1"/>
    <col min="2307" max="2307" width="25.140625" customWidth="1"/>
    <col min="2308" max="2311" width="11" customWidth="1"/>
    <col min="2314" max="2314" width="11.140625" customWidth="1"/>
    <col min="2561" max="2561" width="3.28515625" customWidth="1"/>
    <col min="2562" max="2562" width="2.85546875" customWidth="1"/>
    <col min="2563" max="2563" width="25.140625" customWidth="1"/>
    <col min="2564" max="2567" width="11" customWidth="1"/>
    <col min="2570" max="2570" width="11.140625" customWidth="1"/>
    <col min="2817" max="2817" width="3.28515625" customWidth="1"/>
    <col min="2818" max="2818" width="2.85546875" customWidth="1"/>
    <col min="2819" max="2819" width="25.140625" customWidth="1"/>
    <col min="2820" max="2823" width="11" customWidth="1"/>
    <col min="2826" max="2826" width="11.140625" customWidth="1"/>
    <col min="3073" max="3073" width="3.28515625" customWidth="1"/>
    <col min="3074" max="3074" width="2.85546875" customWidth="1"/>
    <col min="3075" max="3075" width="25.140625" customWidth="1"/>
    <col min="3076" max="3079" width="11" customWidth="1"/>
    <col min="3082" max="3082" width="11.140625" customWidth="1"/>
    <col min="3329" max="3329" width="3.28515625" customWidth="1"/>
    <col min="3330" max="3330" width="2.85546875" customWidth="1"/>
    <col min="3331" max="3331" width="25.140625" customWidth="1"/>
    <col min="3332" max="3335" width="11" customWidth="1"/>
    <col min="3338" max="3338" width="11.140625" customWidth="1"/>
    <col min="3585" max="3585" width="3.28515625" customWidth="1"/>
    <col min="3586" max="3586" width="2.85546875" customWidth="1"/>
    <col min="3587" max="3587" width="25.140625" customWidth="1"/>
    <col min="3588" max="3591" width="11" customWidth="1"/>
    <col min="3594" max="3594" width="11.140625" customWidth="1"/>
    <col min="3841" max="3841" width="3.28515625" customWidth="1"/>
    <col min="3842" max="3842" width="2.85546875" customWidth="1"/>
    <col min="3843" max="3843" width="25.140625" customWidth="1"/>
    <col min="3844" max="3847" width="11" customWidth="1"/>
    <col min="3850" max="3850" width="11.140625" customWidth="1"/>
    <col min="4097" max="4097" width="3.28515625" customWidth="1"/>
    <col min="4098" max="4098" width="2.85546875" customWidth="1"/>
    <col min="4099" max="4099" width="25.140625" customWidth="1"/>
    <col min="4100" max="4103" width="11" customWidth="1"/>
    <col min="4106" max="4106" width="11.140625" customWidth="1"/>
    <col min="4353" max="4353" width="3.28515625" customWidth="1"/>
    <col min="4354" max="4354" width="2.85546875" customWidth="1"/>
    <col min="4355" max="4355" width="25.140625" customWidth="1"/>
    <col min="4356" max="4359" width="11" customWidth="1"/>
    <col min="4362" max="4362" width="11.140625" customWidth="1"/>
    <col min="4609" max="4609" width="3.28515625" customWidth="1"/>
    <col min="4610" max="4610" width="2.85546875" customWidth="1"/>
    <col min="4611" max="4611" width="25.140625" customWidth="1"/>
    <col min="4612" max="4615" width="11" customWidth="1"/>
    <col min="4618" max="4618" width="11.140625" customWidth="1"/>
    <col min="4865" max="4865" width="3.28515625" customWidth="1"/>
    <col min="4866" max="4866" width="2.85546875" customWidth="1"/>
    <col min="4867" max="4867" width="25.140625" customWidth="1"/>
    <col min="4868" max="4871" width="11" customWidth="1"/>
    <col min="4874" max="4874" width="11.140625" customWidth="1"/>
    <col min="5121" max="5121" width="3.28515625" customWidth="1"/>
    <col min="5122" max="5122" width="2.85546875" customWidth="1"/>
    <col min="5123" max="5123" width="25.140625" customWidth="1"/>
    <col min="5124" max="5127" width="11" customWidth="1"/>
    <col min="5130" max="5130" width="11.140625" customWidth="1"/>
    <col min="5377" max="5377" width="3.28515625" customWidth="1"/>
    <col min="5378" max="5378" width="2.85546875" customWidth="1"/>
    <col min="5379" max="5379" width="25.140625" customWidth="1"/>
    <col min="5380" max="5383" width="11" customWidth="1"/>
    <col min="5386" max="5386" width="11.140625" customWidth="1"/>
    <col min="5633" max="5633" width="3.28515625" customWidth="1"/>
    <col min="5634" max="5634" width="2.85546875" customWidth="1"/>
    <col min="5635" max="5635" width="25.140625" customWidth="1"/>
    <col min="5636" max="5639" width="11" customWidth="1"/>
    <col min="5642" max="5642" width="11.140625" customWidth="1"/>
    <col min="5889" max="5889" width="3.28515625" customWidth="1"/>
    <col min="5890" max="5890" width="2.85546875" customWidth="1"/>
    <col min="5891" max="5891" width="25.140625" customWidth="1"/>
    <col min="5892" max="5895" width="11" customWidth="1"/>
    <col min="5898" max="5898" width="11.140625" customWidth="1"/>
    <col min="6145" max="6145" width="3.28515625" customWidth="1"/>
    <col min="6146" max="6146" width="2.85546875" customWidth="1"/>
    <col min="6147" max="6147" width="25.140625" customWidth="1"/>
    <col min="6148" max="6151" width="11" customWidth="1"/>
    <col min="6154" max="6154" width="11.140625" customWidth="1"/>
    <col min="6401" max="6401" width="3.28515625" customWidth="1"/>
    <col min="6402" max="6402" width="2.85546875" customWidth="1"/>
    <col min="6403" max="6403" width="25.140625" customWidth="1"/>
    <col min="6404" max="6407" width="11" customWidth="1"/>
    <col min="6410" max="6410" width="11.140625" customWidth="1"/>
    <col min="6657" max="6657" width="3.28515625" customWidth="1"/>
    <col min="6658" max="6658" width="2.85546875" customWidth="1"/>
    <col min="6659" max="6659" width="25.140625" customWidth="1"/>
    <col min="6660" max="6663" width="11" customWidth="1"/>
    <col min="6666" max="6666" width="11.140625" customWidth="1"/>
    <col min="6913" max="6913" width="3.28515625" customWidth="1"/>
    <col min="6914" max="6914" width="2.85546875" customWidth="1"/>
    <col min="6915" max="6915" width="25.140625" customWidth="1"/>
    <col min="6916" max="6919" width="11" customWidth="1"/>
    <col min="6922" max="6922" width="11.140625" customWidth="1"/>
    <col min="7169" max="7169" width="3.28515625" customWidth="1"/>
    <col min="7170" max="7170" width="2.85546875" customWidth="1"/>
    <col min="7171" max="7171" width="25.140625" customWidth="1"/>
    <col min="7172" max="7175" width="11" customWidth="1"/>
    <col min="7178" max="7178" width="11.140625" customWidth="1"/>
    <col min="7425" max="7425" width="3.28515625" customWidth="1"/>
    <col min="7426" max="7426" width="2.85546875" customWidth="1"/>
    <col min="7427" max="7427" width="25.140625" customWidth="1"/>
    <col min="7428" max="7431" width="11" customWidth="1"/>
    <col min="7434" max="7434" width="11.140625" customWidth="1"/>
    <col min="7681" max="7681" width="3.28515625" customWidth="1"/>
    <col min="7682" max="7682" width="2.85546875" customWidth="1"/>
    <col min="7683" max="7683" width="25.140625" customWidth="1"/>
    <col min="7684" max="7687" width="11" customWidth="1"/>
    <col min="7690" max="7690" width="11.140625" customWidth="1"/>
    <col min="7937" max="7937" width="3.28515625" customWidth="1"/>
    <col min="7938" max="7938" width="2.85546875" customWidth="1"/>
    <col min="7939" max="7939" width="25.140625" customWidth="1"/>
    <col min="7940" max="7943" width="11" customWidth="1"/>
    <col min="7946" max="7946" width="11.140625" customWidth="1"/>
    <col min="8193" max="8193" width="3.28515625" customWidth="1"/>
    <col min="8194" max="8194" width="2.85546875" customWidth="1"/>
    <col min="8195" max="8195" width="25.140625" customWidth="1"/>
    <col min="8196" max="8199" width="11" customWidth="1"/>
    <col min="8202" max="8202" width="11.140625" customWidth="1"/>
    <col min="8449" max="8449" width="3.28515625" customWidth="1"/>
    <col min="8450" max="8450" width="2.85546875" customWidth="1"/>
    <col min="8451" max="8451" width="25.140625" customWidth="1"/>
    <col min="8452" max="8455" width="11" customWidth="1"/>
    <col min="8458" max="8458" width="11.140625" customWidth="1"/>
    <col min="8705" max="8705" width="3.28515625" customWidth="1"/>
    <col min="8706" max="8706" width="2.85546875" customWidth="1"/>
    <col min="8707" max="8707" width="25.140625" customWidth="1"/>
    <col min="8708" max="8711" width="11" customWidth="1"/>
    <col min="8714" max="8714" width="11.140625" customWidth="1"/>
    <col min="8961" max="8961" width="3.28515625" customWidth="1"/>
    <col min="8962" max="8962" width="2.85546875" customWidth="1"/>
    <col min="8963" max="8963" width="25.140625" customWidth="1"/>
    <col min="8964" max="8967" width="11" customWidth="1"/>
    <col min="8970" max="8970" width="11.140625" customWidth="1"/>
    <col min="9217" max="9217" width="3.28515625" customWidth="1"/>
    <col min="9218" max="9218" width="2.85546875" customWidth="1"/>
    <col min="9219" max="9219" width="25.140625" customWidth="1"/>
    <col min="9220" max="9223" width="11" customWidth="1"/>
    <col min="9226" max="9226" width="11.140625" customWidth="1"/>
    <col min="9473" max="9473" width="3.28515625" customWidth="1"/>
    <col min="9474" max="9474" width="2.85546875" customWidth="1"/>
    <col min="9475" max="9475" width="25.140625" customWidth="1"/>
    <col min="9476" max="9479" width="11" customWidth="1"/>
    <col min="9482" max="9482" width="11.140625" customWidth="1"/>
    <col min="9729" max="9729" width="3.28515625" customWidth="1"/>
    <col min="9730" max="9730" width="2.85546875" customWidth="1"/>
    <col min="9731" max="9731" width="25.140625" customWidth="1"/>
    <col min="9732" max="9735" width="11" customWidth="1"/>
    <col min="9738" max="9738" width="11.140625" customWidth="1"/>
    <col min="9985" max="9985" width="3.28515625" customWidth="1"/>
    <col min="9986" max="9986" width="2.85546875" customWidth="1"/>
    <col min="9987" max="9987" width="25.140625" customWidth="1"/>
    <col min="9988" max="9991" width="11" customWidth="1"/>
    <col min="9994" max="9994" width="11.140625" customWidth="1"/>
    <col min="10241" max="10241" width="3.28515625" customWidth="1"/>
    <col min="10242" max="10242" width="2.85546875" customWidth="1"/>
    <col min="10243" max="10243" width="25.140625" customWidth="1"/>
    <col min="10244" max="10247" width="11" customWidth="1"/>
    <col min="10250" max="10250" width="11.140625" customWidth="1"/>
    <col min="10497" max="10497" width="3.28515625" customWidth="1"/>
    <col min="10498" max="10498" width="2.85546875" customWidth="1"/>
    <col min="10499" max="10499" width="25.140625" customWidth="1"/>
    <col min="10500" max="10503" width="11" customWidth="1"/>
    <col min="10506" max="10506" width="11.140625" customWidth="1"/>
    <col min="10753" max="10753" width="3.28515625" customWidth="1"/>
    <col min="10754" max="10754" width="2.85546875" customWidth="1"/>
    <col min="10755" max="10755" width="25.140625" customWidth="1"/>
    <col min="10756" max="10759" width="11" customWidth="1"/>
    <col min="10762" max="10762" width="11.140625" customWidth="1"/>
    <col min="11009" max="11009" width="3.28515625" customWidth="1"/>
    <col min="11010" max="11010" width="2.85546875" customWidth="1"/>
    <col min="11011" max="11011" width="25.140625" customWidth="1"/>
    <col min="11012" max="11015" width="11" customWidth="1"/>
    <col min="11018" max="11018" width="11.140625" customWidth="1"/>
    <col min="11265" max="11265" width="3.28515625" customWidth="1"/>
    <col min="11266" max="11266" width="2.85546875" customWidth="1"/>
    <col min="11267" max="11267" width="25.140625" customWidth="1"/>
    <col min="11268" max="11271" width="11" customWidth="1"/>
    <col min="11274" max="11274" width="11.140625" customWidth="1"/>
    <col min="11521" max="11521" width="3.28515625" customWidth="1"/>
    <col min="11522" max="11522" width="2.85546875" customWidth="1"/>
    <col min="11523" max="11523" width="25.140625" customWidth="1"/>
    <col min="11524" max="11527" width="11" customWidth="1"/>
    <col min="11530" max="11530" width="11.140625" customWidth="1"/>
    <col min="11777" max="11777" width="3.28515625" customWidth="1"/>
    <col min="11778" max="11778" width="2.85546875" customWidth="1"/>
    <col min="11779" max="11779" width="25.140625" customWidth="1"/>
    <col min="11780" max="11783" width="11" customWidth="1"/>
    <col min="11786" max="11786" width="11.140625" customWidth="1"/>
    <col min="12033" max="12033" width="3.28515625" customWidth="1"/>
    <col min="12034" max="12034" width="2.85546875" customWidth="1"/>
    <col min="12035" max="12035" width="25.140625" customWidth="1"/>
    <col min="12036" max="12039" width="11" customWidth="1"/>
    <col min="12042" max="12042" width="11.140625" customWidth="1"/>
    <col min="12289" max="12289" width="3.28515625" customWidth="1"/>
    <col min="12290" max="12290" width="2.85546875" customWidth="1"/>
    <col min="12291" max="12291" width="25.140625" customWidth="1"/>
    <col min="12292" max="12295" width="11" customWidth="1"/>
    <col min="12298" max="12298" width="11.140625" customWidth="1"/>
    <col min="12545" max="12545" width="3.28515625" customWidth="1"/>
    <col min="12546" max="12546" width="2.85546875" customWidth="1"/>
    <col min="12547" max="12547" width="25.140625" customWidth="1"/>
    <col min="12548" max="12551" width="11" customWidth="1"/>
    <col min="12554" max="12554" width="11.140625" customWidth="1"/>
    <col min="12801" max="12801" width="3.28515625" customWidth="1"/>
    <col min="12802" max="12802" width="2.85546875" customWidth="1"/>
    <col min="12803" max="12803" width="25.140625" customWidth="1"/>
    <col min="12804" max="12807" width="11" customWidth="1"/>
    <col min="12810" max="12810" width="11.140625" customWidth="1"/>
    <col min="13057" max="13057" width="3.28515625" customWidth="1"/>
    <col min="13058" max="13058" width="2.85546875" customWidth="1"/>
    <col min="13059" max="13059" width="25.140625" customWidth="1"/>
    <col min="13060" max="13063" width="11" customWidth="1"/>
    <col min="13066" max="13066" width="11.140625" customWidth="1"/>
    <col min="13313" max="13313" width="3.28515625" customWidth="1"/>
    <col min="13314" max="13314" width="2.85546875" customWidth="1"/>
    <col min="13315" max="13315" width="25.140625" customWidth="1"/>
    <col min="13316" max="13319" width="11" customWidth="1"/>
    <col min="13322" max="13322" width="11.140625" customWidth="1"/>
    <col min="13569" max="13569" width="3.28515625" customWidth="1"/>
    <col min="13570" max="13570" width="2.85546875" customWidth="1"/>
    <col min="13571" max="13571" width="25.140625" customWidth="1"/>
    <col min="13572" max="13575" width="11" customWidth="1"/>
    <col min="13578" max="13578" width="11.140625" customWidth="1"/>
    <col min="13825" max="13825" width="3.28515625" customWidth="1"/>
    <col min="13826" max="13826" width="2.85546875" customWidth="1"/>
    <col min="13827" max="13827" width="25.140625" customWidth="1"/>
    <col min="13828" max="13831" width="11" customWidth="1"/>
    <col min="13834" max="13834" width="11.140625" customWidth="1"/>
    <col min="14081" max="14081" width="3.28515625" customWidth="1"/>
    <col min="14082" max="14082" width="2.85546875" customWidth="1"/>
    <col min="14083" max="14083" width="25.140625" customWidth="1"/>
    <col min="14084" max="14087" width="11" customWidth="1"/>
    <col min="14090" max="14090" width="11.140625" customWidth="1"/>
    <col min="14337" max="14337" width="3.28515625" customWidth="1"/>
    <col min="14338" max="14338" width="2.85546875" customWidth="1"/>
    <col min="14339" max="14339" width="25.140625" customWidth="1"/>
    <col min="14340" max="14343" width="11" customWidth="1"/>
    <col min="14346" max="14346" width="11.140625" customWidth="1"/>
    <col min="14593" max="14593" width="3.28515625" customWidth="1"/>
    <col min="14594" max="14594" width="2.85546875" customWidth="1"/>
    <col min="14595" max="14595" width="25.140625" customWidth="1"/>
    <col min="14596" max="14599" width="11" customWidth="1"/>
    <col min="14602" max="14602" width="11.140625" customWidth="1"/>
    <col min="14849" max="14849" width="3.28515625" customWidth="1"/>
    <col min="14850" max="14850" width="2.85546875" customWidth="1"/>
    <col min="14851" max="14851" width="25.140625" customWidth="1"/>
    <col min="14852" max="14855" width="11" customWidth="1"/>
    <col min="14858" max="14858" width="11.140625" customWidth="1"/>
    <col min="15105" max="15105" width="3.28515625" customWidth="1"/>
    <col min="15106" max="15106" width="2.85546875" customWidth="1"/>
    <col min="15107" max="15107" width="25.140625" customWidth="1"/>
    <col min="15108" max="15111" width="11" customWidth="1"/>
    <col min="15114" max="15114" width="11.140625" customWidth="1"/>
    <col min="15361" max="15361" width="3.28515625" customWidth="1"/>
    <col min="15362" max="15362" width="2.85546875" customWidth="1"/>
    <col min="15363" max="15363" width="25.140625" customWidth="1"/>
    <col min="15364" max="15367" width="11" customWidth="1"/>
    <col min="15370" max="15370" width="11.140625" customWidth="1"/>
    <col min="15617" max="15617" width="3.28515625" customWidth="1"/>
    <col min="15618" max="15618" width="2.85546875" customWidth="1"/>
    <col min="15619" max="15619" width="25.140625" customWidth="1"/>
    <col min="15620" max="15623" width="11" customWidth="1"/>
    <col min="15626" max="15626" width="11.140625" customWidth="1"/>
    <col min="15873" max="15873" width="3.28515625" customWidth="1"/>
    <col min="15874" max="15874" width="2.85546875" customWidth="1"/>
    <col min="15875" max="15875" width="25.140625" customWidth="1"/>
    <col min="15876" max="15879" width="11" customWidth="1"/>
    <col min="15882" max="15882" width="11.140625" customWidth="1"/>
    <col min="16129" max="16129" width="3.28515625" customWidth="1"/>
    <col min="16130" max="16130" width="2.85546875" customWidth="1"/>
    <col min="16131" max="16131" width="25.140625" customWidth="1"/>
    <col min="16132" max="16135" width="11" customWidth="1"/>
    <col min="16138" max="16138" width="11.140625" customWidth="1"/>
  </cols>
  <sheetData>
    <row r="1" spans="1:10" x14ac:dyDescent="0.25">
      <c r="A1" t="s">
        <v>62</v>
      </c>
    </row>
    <row r="2" spans="1:10" x14ac:dyDescent="0.25">
      <c r="A2" t="s">
        <v>63</v>
      </c>
    </row>
    <row r="3" spans="1:10" x14ac:dyDescent="0.25">
      <c r="A3" t="s">
        <v>151</v>
      </c>
    </row>
    <row r="5" spans="1:10" x14ac:dyDescent="0.25">
      <c r="C5" t="s">
        <v>2</v>
      </c>
      <c r="D5" t="s">
        <v>64</v>
      </c>
      <c r="E5" t="s">
        <v>65</v>
      </c>
      <c r="F5" t="s">
        <v>66</v>
      </c>
      <c r="G5" t="s">
        <v>67</v>
      </c>
    </row>
    <row r="7" spans="1:10" x14ac:dyDescent="0.25">
      <c r="A7" t="s">
        <v>0</v>
      </c>
    </row>
    <row r="8" spans="1:10" x14ac:dyDescent="0.25">
      <c r="B8" t="s">
        <v>68</v>
      </c>
    </row>
    <row r="9" spans="1:10" x14ac:dyDescent="0.25">
      <c r="C9" t="s">
        <v>97</v>
      </c>
      <c r="D9" t="s">
        <v>6</v>
      </c>
      <c r="E9" s="76">
        <v>17.5</v>
      </c>
      <c r="F9">
        <v>3</v>
      </c>
      <c r="G9" s="2">
        <f>E9*F9</f>
        <v>52.5</v>
      </c>
      <c r="J9" s="1"/>
    </row>
    <row r="10" spans="1:10" x14ac:dyDescent="0.25">
      <c r="C10" t="s">
        <v>69</v>
      </c>
      <c r="D10" t="s">
        <v>6</v>
      </c>
      <c r="E10" s="76">
        <v>21.88</v>
      </c>
      <c r="F10">
        <v>1</v>
      </c>
      <c r="G10" s="2">
        <f>E10*F10</f>
        <v>21.88</v>
      </c>
      <c r="J10" s="1"/>
    </row>
    <row r="11" spans="1:10" x14ac:dyDescent="0.25">
      <c r="C11" t="s">
        <v>70</v>
      </c>
      <c r="D11" t="s">
        <v>6</v>
      </c>
      <c r="E11" s="76">
        <v>16.97</v>
      </c>
      <c r="F11">
        <v>1</v>
      </c>
      <c r="G11" s="2">
        <f>E11*F11</f>
        <v>16.97</v>
      </c>
      <c r="J11" s="1"/>
    </row>
    <row r="12" spans="1:10" x14ac:dyDescent="0.25">
      <c r="B12" t="s">
        <v>71</v>
      </c>
      <c r="E12" s="76"/>
      <c r="G12" s="2"/>
    </row>
    <row r="13" spans="1:10" x14ac:dyDescent="0.25">
      <c r="C13" t="s">
        <v>98</v>
      </c>
      <c r="D13" t="s">
        <v>72</v>
      </c>
      <c r="E13" s="76">
        <v>6.85</v>
      </c>
      <c r="F13">
        <v>2</v>
      </c>
      <c r="G13" s="2">
        <f>E13*F13</f>
        <v>13.7</v>
      </c>
    </row>
    <row r="14" spans="1:10" x14ac:dyDescent="0.25">
      <c r="B14" t="s">
        <v>73</v>
      </c>
      <c r="E14" s="76"/>
      <c r="G14" s="2"/>
    </row>
    <row r="15" spans="1:10" x14ac:dyDescent="0.25">
      <c r="C15" t="s">
        <v>74</v>
      </c>
      <c r="D15" t="s">
        <v>75</v>
      </c>
      <c r="E15" s="76">
        <v>7</v>
      </c>
      <c r="F15">
        <v>2</v>
      </c>
      <c r="G15" s="2">
        <f t="shared" ref="G15:G29" si="0">E15*F15</f>
        <v>14</v>
      </c>
    </row>
    <row r="16" spans="1:10" x14ac:dyDescent="0.25">
      <c r="B16" t="s">
        <v>76</v>
      </c>
      <c r="E16" s="76"/>
      <c r="G16" s="2"/>
    </row>
    <row r="17" spans="1:7" x14ac:dyDescent="0.25">
      <c r="C17" t="s">
        <v>77</v>
      </c>
      <c r="D17" t="s">
        <v>7</v>
      </c>
      <c r="E17" s="76">
        <v>6</v>
      </c>
      <c r="F17">
        <v>0.33</v>
      </c>
      <c r="G17" s="2">
        <f t="shared" si="0"/>
        <v>1.98</v>
      </c>
    </row>
    <row r="18" spans="1:7" x14ac:dyDescent="0.25">
      <c r="B18" t="s">
        <v>78</v>
      </c>
      <c r="E18" s="76"/>
      <c r="G18" s="2"/>
    </row>
    <row r="19" spans="1:7" x14ac:dyDescent="0.25">
      <c r="C19" t="s">
        <v>79</v>
      </c>
      <c r="D19" t="s">
        <v>5</v>
      </c>
      <c r="E19" s="76">
        <v>46</v>
      </c>
      <c r="F19">
        <v>0.33</v>
      </c>
      <c r="G19" s="2">
        <f t="shared" si="0"/>
        <v>15.180000000000001</v>
      </c>
    </row>
    <row r="20" spans="1:7" x14ac:dyDescent="0.25">
      <c r="B20" t="s">
        <v>80</v>
      </c>
      <c r="E20" s="76"/>
      <c r="G20" s="2"/>
    </row>
    <row r="21" spans="1:7" x14ac:dyDescent="0.25">
      <c r="C21" t="s">
        <v>81</v>
      </c>
      <c r="D21" t="s">
        <v>8</v>
      </c>
      <c r="E21" s="76">
        <v>13.14</v>
      </c>
      <c r="F21">
        <v>0.1608</v>
      </c>
      <c r="G21" s="2">
        <f t="shared" si="0"/>
        <v>2.1129120000000001</v>
      </c>
    </row>
    <row r="22" spans="1:7" x14ac:dyDescent="0.25">
      <c r="B22" t="s">
        <v>82</v>
      </c>
      <c r="E22" s="76"/>
      <c r="G22" s="2"/>
    </row>
    <row r="23" spans="1:7" x14ac:dyDescent="0.25">
      <c r="C23" t="s">
        <v>83</v>
      </c>
      <c r="D23" t="s">
        <v>8</v>
      </c>
      <c r="E23" s="76">
        <v>9.06</v>
      </c>
      <c r="F23">
        <v>3.1300000000000001E-2</v>
      </c>
      <c r="G23" s="2">
        <f t="shared" si="0"/>
        <v>0.28357800000000005</v>
      </c>
    </row>
    <row r="24" spans="1:7" x14ac:dyDescent="0.25">
      <c r="B24" t="s">
        <v>84</v>
      </c>
      <c r="E24" s="76"/>
      <c r="G24" s="2"/>
    </row>
    <row r="25" spans="1:7" x14ac:dyDescent="0.25">
      <c r="C25" t="s">
        <v>81</v>
      </c>
      <c r="D25" t="s">
        <v>85</v>
      </c>
      <c r="E25" s="76">
        <v>1.7</v>
      </c>
      <c r="F25">
        <v>0.621</v>
      </c>
      <c r="G25" s="2">
        <f t="shared" si="0"/>
        <v>1.0556999999999999</v>
      </c>
    </row>
    <row r="26" spans="1:7" x14ac:dyDescent="0.25">
      <c r="B26" t="s">
        <v>86</v>
      </c>
      <c r="E26" s="2"/>
      <c r="G26" s="2"/>
    </row>
    <row r="27" spans="1:7" x14ac:dyDescent="0.25">
      <c r="C27" t="s">
        <v>83</v>
      </c>
      <c r="D27" t="s">
        <v>7</v>
      </c>
      <c r="E27" s="2">
        <v>1.08</v>
      </c>
      <c r="F27">
        <v>1</v>
      </c>
      <c r="G27" s="2">
        <f t="shared" si="0"/>
        <v>1.08</v>
      </c>
    </row>
    <row r="28" spans="1:7" x14ac:dyDescent="0.25">
      <c r="C28" t="s">
        <v>81</v>
      </c>
      <c r="D28" t="s">
        <v>7</v>
      </c>
      <c r="E28" s="2">
        <v>0.18</v>
      </c>
      <c r="F28">
        <v>1</v>
      </c>
      <c r="G28" s="2">
        <f t="shared" si="0"/>
        <v>0.18</v>
      </c>
    </row>
    <row r="29" spans="1:7" x14ac:dyDescent="0.25">
      <c r="B29" t="s">
        <v>87</v>
      </c>
      <c r="D29" t="s">
        <v>7</v>
      </c>
      <c r="E29" s="2">
        <v>3.91</v>
      </c>
      <c r="F29">
        <v>1</v>
      </c>
      <c r="G29" s="2">
        <f t="shared" si="0"/>
        <v>3.91</v>
      </c>
    </row>
    <row r="30" spans="1:7" x14ac:dyDescent="0.25">
      <c r="E30" s="2"/>
      <c r="G30" s="2"/>
    </row>
    <row r="31" spans="1:7" x14ac:dyDescent="0.25">
      <c r="A31" t="s">
        <v>3</v>
      </c>
      <c r="D31" t="s">
        <v>88</v>
      </c>
      <c r="E31" s="2"/>
      <c r="G31" s="2">
        <f>SUM(G9:G29)</f>
        <v>144.83219000000003</v>
      </c>
    </row>
    <row r="32" spans="1:7" x14ac:dyDescent="0.25">
      <c r="A32" t="s">
        <v>1</v>
      </c>
      <c r="E32" s="2"/>
      <c r="G32" s="2"/>
    </row>
    <row r="33" spans="1:7" x14ac:dyDescent="0.25">
      <c r="C33" t="s">
        <v>83</v>
      </c>
      <c r="D33" t="s">
        <v>7</v>
      </c>
      <c r="E33" s="2">
        <v>0.84</v>
      </c>
      <c r="F33">
        <v>1</v>
      </c>
      <c r="G33" s="2">
        <f t="shared" ref="G33:G35" si="1">E33*F33</f>
        <v>0.84</v>
      </c>
    </row>
    <row r="34" spans="1:7" x14ac:dyDescent="0.25">
      <c r="C34" t="s">
        <v>81</v>
      </c>
      <c r="D34" t="s">
        <v>7</v>
      </c>
      <c r="E34" s="2">
        <v>1.05</v>
      </c>
      <c r="F34">
        <v>1</v>
      </c>
      <c r="G34" s="2">
        <f t="shared" si="1"/>
        <v>1.05</v>
      </c>
    </row>
    <row r="35" spans="1:7" x14ac:dyDescent="0.25">
      <c r="C35" t="s">
        <v>89</v>
      </c>
      <c r="D35" t="s">
        <v>7</v>
      </c>
      <c r="E35" s="2">
        <v>23.54</v>
      </c>
      <c r="F35">
        <v>1</v>
      </c>
      <c r="G35" s="2">
        <f t="shared" si="1"/>
        <v>23.54</v>
      </c>
    </row>
    <row r="36" spans="1:7" x14ac:dyDescent="0.25">
      <c r="G36" s="2"/>
    </row>
    <row r="37" spans="1:7" x14ac:dyDescent="0.25">
      <c r="A37" t="s">
        <v>9</v>
      </c>
      <c r="G37" s="2">
        <f>SUM(G33:G35)</f>
        <v>25.43</v>
      </c>
    </row>
    <row r="38" spans="1:7" x14ac:dyDescent="0.25">
      <c r="G38" s="2"/>
    </row>
    <row r="39" spans="1:7" x14ac:dyDescent="0.25">
      <c r="A39" t="s">
        <v>4</v>
      </c>
      <c r="G39" s="2">
        <f>G31+G37</f>
        <v>170.26219000000003</v>
      </c>
    </row>
    <row r="41" spans="1:7" x14ac:dyDescent="0.25">
      <c r="A41" t="s">
        <v>152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INSTRUCTIONS</vt:lpstr>
      <vt:lpstr>Budget</vt:lpstr>
      <vt:lpstr>mix_grass_budget</vt:lpstr>
      <vt:lpstr>Budget!Print_Area</vt:lpstr>
      <vt:lpstr>INSTRUCTIONS!Print_Area</vt:lpstr>
    </vt:vector>
  </TitlesOfParts>
  <Company>Mississippi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M</dc:creator>
  <cp:lastModifiedBy>jmaples</cp:lastModifiedBy>
  <cp:lastPrinted>2018-04-18T22:13:42Z</cp:lastPrinted>
  <dcterms:created xsi:type="dcterms:W3CDTF">2008-08-13T14:47:37Z</dcterms:created>
  <dcterms:modified xsi:type="dcterms:W3CDTF">2018-05-14T21:55:48Z</dcterms:modified>
</cp:coreProperties>
</file>